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'Лист1'!$23:$24</definedName>
  </definedNames>
  <calcPr fullCalcOnLoad="1"/>
</workbook>
</file>

<file path=xl/sharedStrings.xml><?xml version="1.0" encoding="utf-8"?>
<sst xmlns="http://schemas.openxmlformats.org/spreadsheetml/2006/main" count="1335" uniqueCount="428">
  <si>
    <t>Smeta.ru  (095) 974-1589</t>
  </si>
  <si>
    <t>_PS_</t>
  </si>
  <si>
    <t>Smeta.ru</t>
  </si>
  <si>
    <t>Администрация Мелекесского района  Доп. раб. место  FStS-0023048</t>
  </si>
  <si>
    <t>Новый объект</t>
  </si>
  <si>
    <t>Ремонтные работы по МОУ Правдинская СОШ в п.Дивный</t>
  </si>
  <si>
    <t/>
  </si>
  <si>
    <t>Сметные нормы списания</t>
  </si>
  <si>
    <t>Коды ценников</t>
  </si>
  <si>
    <t>ФЕР версия 2 с параметрами</t>
  </si>
  <si>
    <t>Версия 2 с параметрами. Расчёт для 2001 г МДС 81.33-2004 и МДС 81.25-99 с п.АП-5536/06</t>
  </si>
  <si>
    <t>Ульяновская область</t>
  </si>
  <si>
    <t>Поправки для НБ 2001 нов МДС  для вер.2 с параметрами</t>
  </si>
  <si>
    <t>Новая локальная смета</t>
  </si>
  <si>
    <t>{5EDBB8C9-046E-49A6-AB8D-0EEC9C2E6B27}</t>
  </si>
  <si>
    <t>Ремонт кровли</t>
  </si>
  <si>
    <t>58-17-4</t>
  </si>
  <si>
    <t>Разборка покрытий кровель из волнистых и полуволнистых асбестоцементных листов</t>
  </si>
  <si>
    <t>100 м2</t>
  </si>
  <si>
    <t>ТЕРр Ульяновской обл.,сб.58,поз.17-4</t>
  </si>
  <si>
    <t>100 м2 покрытий кровель</t>
  </si>
  <si>
    <t>Ремонтно-строительные работы</t>
  </si>
  <si>
    <t>Кровли</t>
  </si>
  <si>
    <t>Крыши, кровли</t>
  </si>
  <si>
    <t>58</t>
  </si>
  <si>
    <t>2</t>
  </si>
  <si>
    <t>58-18-2</t>
  </si>
  <si>
    <t>Смена обрешетки с прозорами из досок толщиной до 50 мм</t>
  </si>
  <si>
    <t>ТЕРр Ульяновской обл.,сб.58,поз.18-2</t>
  </si>
  <si>
    <t>100 м2 сменяемой обрешетки</t>
  </si>
  <si>
    <t>58-20-2</t>
  </si>
  <si>
    <t>Смена обделок из листовой стали поясков, сандриков, отливов, карнизов шириной до 0,7 м</t>
  </si>
  <si>
    <t>100 м</t>
  </si>
  <si>
    <t>ТЕРр Ульяновской обл.,сб.58,поз.20-2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</si>
  <si>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</si>
  <si>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</si>
  <si>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ТЕР Ульяновской обл.сб.12,гл.01,табл.007,поз.3</t>
  </si>
  <si>
    <t>100 м2 кровли</t>
  </si>
  <si>
    <t>Общестроительные работы</t>
  </si>
  <si>
    <t>12</t>
  </si>
  <si>
    <t>58-7-1</t>
  </si>
  <si>
    <t>Ремонт отдельными местами рулонного покрытия с промазкой битумными составами с заменой 1 слоя</t>
  </si>
  <si>
    <t>ТЕРр Ульяновской обл.,сб.58,поз.7-1</t>
  </si>
  <si>
    <t>100 м2 покрытия</t>
  </si>
  <si>
    <t>8,1</t>
  </si>
  <si>
    <t>101-9123</t>
  </si>
  <si>
    <t>Материалы рулонные кровельные</t>
  </si>
  <si>
    <t>м2</t>
  </si>
  <si>
    <t>ТССЦ Ульяновской обл,сб.101,поз.9123</t>
  </si>
  <si>
    <t>58-2-2</t>
  </si>
  <si>
    <t>Разборка слуховых окон прямоугольных односкатных</t>
  </si>
  <si>
    <t>100 шт.</t>
  </si>
  <si>
    <t>ТЕРр Ульяновской обл.,сб.58,поз.2-2</t>
  </si>
  <si>
    <t>100 окон</t>
  </si>
  <si>
    <t>10</t>
  </si>
  <si>
    <t>10-01-003-1</t>
  </si>
  <si>
    <t>Устройство слуховых окон</t>
  </si>
  <si>
    <t>шт</t>
  </si>
  <si>
    <t>ТЕР Ульяновской обл.сб.10,гл.01,табл.003,поз.1</t>
  </si>
  <si>
    <t>)*1,25</t>
  </si>
  <si>
    <t>)*1,15</t>
  </si>
  <si>
    <t>1 слуховое окно</t>
  </si>
  <si>
    <t>Деревянные конструкции</t>
  </si>
  <si>
    <t>10,1</t>
  </si>
  <si>
    <t>203-9053</t>
  </si>
  <si>
    <t>Переплеты оконные для жилых зданий</t>
  </si>
  <si>
    <t>ТССЦ Ульяновской обл,сб.203,поз.9053</t>
  </si>
  <si>
    <t>Ремонт отопительной системы</t>
  </si>
  <si>
    <t>65-5-2</t>
  </si>
  <si>
    <t>Смена арматуры вентилей и клапанов обратных муфтовых диаметром до 32 мм</t>
  </si>
  <si>
    <t>ТЕРр Ульяновской обл.,сб.65,поз.5-2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</si>
  <si>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</si>
  <si>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Внутренние санитарно-технические работы смена труб</t>
  </si>
  <si>
    <t>65-2</t>
  </si>
  <si>
    <t>65-9-5</t>
  </si>
  <si>
    <t>Смена внутренних трубопроводов из стальных труб диаметром 40 мм</t>
  </si>
  <si>
    <t>ТЕРр Ульяновской обл.,сб.65,поз.9-5</t>
  </si>
  <si>
    <t>100 м трубопроводов</t>
  </si>
  <si>
    <t>18,1</t>
  </si>
  <si>
    <t>300-9008</t>
  </si>
  <si>
    <t>Арматура трубопроводная</t>
  </si>
  <si>
    <t>шт.</t>
  </si>
  <si>
    <t>ТССЦ Ульяновской обл,сб.300,поз.9008</t>
  </si>
  <si>
    <t>18,2</t>
  </si>
  <si>
    <t>300-9240</t>
  </si>
  <si>
    <t>Крепления</t>
  </si>
  <si>
    <t>кг</t>
  </si>
  <si>
    <t>ТССЦ Ульяновской обл,сб.300,поз.9240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</si>
  <si>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</si>
  <si>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</si>
  <si>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</si>
  <si>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</si>
  <si>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</si>
  <si>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</si>
  <si>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</si>
  <si>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</si>
  <si>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</si>
  <si>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</si>
  <si>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</si>
  <si>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</si>
  <si>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</si>
  <si>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</si>
  <si>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</si>
  <si>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</si>
  <si>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</si>
  <si>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</si>
  <si>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</si>
  <si>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</si>
  <si>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</si>
  <si>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</si>
  <si>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</si>
  <si>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 прямые затраты</t>
  </si>
  <si>
    <t>Итог2</t>
  </si>
  <si>
    <t>Итог3</t>
  </si>
  <si>
    <t>Итог4</t>
  </si>
  <si>
    <t>Итого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</si>
  <si>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</si>
  <si>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</si>
  <si>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</si>
  <si>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</si>
  <si>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</si>
  <si>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</si>
  <si>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</si>
  <si>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</si>
  <si>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</si>
  <si>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</si>
  <si>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</si>
  <si>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</si>
  <si>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</si>
  <si>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</si>
  <si>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</si>
  <si>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</si>
  <si>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</si>
  <si>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</si>
  <si>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</si>
  <si>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</si>
  <si>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</si>
  <si>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</si>
  <si>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</si>
  <si>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</si>
  <si>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</si>
  <si>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</si>
  <si>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</si>
  <si>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</si>
  <si>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</si>
  <si>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</si>
  <si>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</si>
  <si>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</si>
  <si>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</si>
  <si>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</si>
  <si>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</si>
  <si>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</si>
  <si>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</si>
  <si>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</si>
  <si>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</si>
  <si>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</si>
  <si>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</si>
  <si>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</si>
  <si>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</si>
  <si>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</si>
  <si>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</si>
  <si>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</si>
  <si>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</si>
  <si>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</si>
  <si>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</si>
  <si>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</si>
  <si>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</si>
  <si>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</si>
  <si>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</si>
  <si>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</si>
  <si>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</si>
  <si>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</si>
  <si>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</si>
  <si>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</si>
  <si>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</si>
  <si>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</si>
  <si>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</si>
  <si>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</si>
  <si>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</si>
  <si>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</si>
  <si>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</si>
  <si>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</si>
  <si>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</si>
  <si>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</si>
  <si>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</si>
  <si>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</si>
  <si>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</si>
  <si>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</si>
  <si>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</si>
  <si>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</si>
  <si>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</si>
  <si>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</si>
  <si>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</si>
  <si>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</si>
  <si>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</si>
  <si>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</si>
  <si>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</si>
  <si>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</si>
  <si>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</si>
  <si>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</si>
  <si>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</si>
  <si>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</si>
  <si>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</si>
  <si>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</si>
  <si>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</si>
  <si>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</si>
  <si>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</si>
  <si>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</si>
  <si>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</si>
  <si>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</si>
  <si>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</si>
  <si>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</si>
  <si>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</si>
  <si>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</si>
  <si>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</si>
  <si>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</si>
  <si>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</si>
  <si>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</si>
  <si>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</si>
  <si>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</si>
  <si>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</si>
  <si>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</si>
  <si>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</si>
  <si>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</si>
  <si>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</si>
  <si>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</si>
  <si>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</si>
  <si>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</si>
  <si>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</si>
  <si>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</si>
  <si>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</si>
  <si>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</si>
  <si>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</si>
  <si>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</si>
  <si>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</si>
  <si>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</si>
  <si>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</si>
  <si>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</si>
  <si>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</si>
  <si>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</si>
  <si>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</si>
  <si>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</si>
  <si>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</si>
  <si>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</si>
  <si>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aa</t>
  </si>
  <si>
    <t>aaq</t>
  </si>
  <si>
    <t>1-2.0-73</t>
  </si>
  <si>
    <t>Затраты труда рабочих-строителей (средний разряд 2.0)</t>
  </si>
  <si>
    <t>чел.ч</t>
  </si>
  <si>
    <t>ЧЕЛ.Ч</t>
  </si>
  <si>
    <t>030401</t>
  </si>
  <si>
    <t>483588</t>
  </si>
  <si>
    <t>Лебедки электрические, тяговым усилием до 5,79 (0,59) кH (т)</t>
  </si>
  <si>
    <t>маш.-ч</t>
  </si>
  <si>
    <t>999-9900</t>
  </si>
  <si>
    <t>ТССЦ Ульяновской обл.,сб.999,поз.9900</t>
  </si>
  <si>
    <t>Строительный мусор</t>
  </si>
  <si>
    <t>т</t>
  </si>
  <si>
    <t>1-2.2-73</t>
  </si>
  <si>
    <t>Затраты труда рабочих-строителей (средний разряд 2.2)</t>
  </si>
  <si>
    <t>Затраты труда машинистов</t>
  </si>
  <si>
    <t>чел.час</t>
  </si>
  <si>
    <t>400001</t>
  </si>
  <si>
    <t>451114</t>
  </si>
  <si>
    <t>Автомобили бортовые грузоподъемностью до 5 т</t>
  </si>
  <si>
    <t>101-1805</t>
  </si>
  <si>
    <t>ТССЦ Ульяновской обл,сб.101,поз.1805</t>
  </si>
  <si>
    <t>Гвозди строительные</t>
  </si>
  <si>
    <t>102-0080</t>
  </si>
  <si>
    <t>ТССЦ Ульяновской обл,сб.102,поз.0080</t>
  </si>
  <si>
    <t>Пиломатериалы хвойных пород.Доски необрезные длиной 4-6.5 м, все ширины, толщиной 44 мм и более   II сорта</t>
  </si>
  <si>
    <t>м3</t>
  </si>
  <si>
    <t>1-3.0-73</t>
  </si>
  <si>
    <t>Затраты труда рабочих-строителей (средний разряд 3.0)</t>
  </si>
  <si>
    <t>031121</t>
  </si>
  <si>
    <t>483583</t>
  </si>
  <si>
    <t>Подъемники мачтовые строительные 0.5 т</t>
  </si>
  <si>
    <t>101-0794</t>
  </si>
  <si>
    <t>ТССЦ Ульяновской обл,сб.101,поз.0794</t>
  </si>
  <si>
    <t>Проволока катанная оцинкованная  диаметром 2.6 мм</t>
  </si>
  <si>
    <t>101-9351</t>
  </si>
  <si>
    <t>ТССЦ Ульяновской обл,сб.101,поз.9351</t>
  </si>
  <si>
    <t>Сталь листовая оцинкованная толщиной листа 0,7 мм</t>
  </si>
  <si>
    <t>1-3.1-73</t>
  </si>
  <si>
    <t>Затраты труда рабочих-строителей (средний разряд 3.1)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</si>
  <si>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</si>
  <si>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</si>
  <si>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</si>
  <si>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</si>
  <si>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</si>
  <si>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</si>
  <si>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</si>
  <si>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</si>
  <si>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101-0036</t>
  </si>
  <si>
    <t>ТССЦ Ульяновской обл,сб.101,поз.0036</t>
  </si>
  <si>
    <t>Листы асбестоцементные волнистые  унифицированного профиля 54/200 толщиной 7.5 мм</t>
  </si>
  <si>
    <t>101-0096</t>
  </si>
  <si>
    <t>ТССЦ Ульяновской обл,сб.101,поз.0096</t>
  </si>
  <si>
    <t>Болты оцинкованные  диаметром резьбы 8 мм</t>
  </si>
  <si>
    <t>101-0788</t>
  </si>
  <si>
    <t>ТССЦ Ульяновской обл,сб.101,поз.0788</t>
  </si>
  <si>
    <t>Поковки оцинкованные  массой 2.825 кг</t>
  </si>
  <si>
    <t>101-0856</t>
  </si>
  <si>
    <t>ТССЦ Ульяновской обл,сб.101,поз.0856</t>
  </si>
  <si>
    <t>Рубероид кровельный с крупнозернистой посыпкой  с пылевидной посыпкой РКП-350б</t>
  </si>
  <si>
    <t>101-1875</t>
  </si>
  <si>
    <t>ТССЦ Ульяновской обл,сб.101,поз.1875</t>
  </si>
  <si>
    <t>Сталь оцинкованная листовая  толщина листа 0.7 мм</t>
  </si>
  <si>
    <t>101-1976</t>
  </si>
  <si>
    <t>ТССЦ Ульяновской обл,сб.101,поз.1976</t>
  </si>
  <si>
    <t>Примеси волокнистых веществ</t>
  </si>
  <si>
    <t>101-9923</t>
  </si>
  <si>
    <t>ТССЦ Ульяновской обл,сб.101,поз.9923</t>
  </si>
  <si>
    <t>Шаблоны коньковые</t>
  </si>
  <si>
    <t>ШТ</t>
  </si>
  <si>
    <t>402-9071</t>
  </si>
  <si>
    <t>ТССЦ Ульяновской обл,сб.402,поз.9071</t>
  </si>
  <si>
    <t>Раствор готовый кладочный тяжелый цементный</t>
  </si>
  <si>
    <t>1-3.2-73</t>
  </si>
  <si>
    <t>Затраты труда рабочих-строителей (средний разряд 3.2)</t>
  </si>
  <si>
    <t>121011</t>
  </si>
  <si>
    <t>482000</t>
  </si>
  <si>
    <t>Котлы битумные передвижные 400 л</t>
  </si>
  <si>
    <t>101-0594</t>
  </si>
  <si>
    <t>ТССЦ Ульяновской обл,сб.101,поз.0594</t>
  </si>
  <si>
    <t>Мастика битумная кровельная горячая</t>
  </si>
  <si>
    <t>331531</t>
  </si>
  <si>
    <t>483331</t>
  </si>
  <si>
    <t>Пилы дисковые электрические</t>
  </si>
  <si>
    <t>102-0010</t>
  </si>
  <si>
    <t>ТССЦ Ульяновской обл,сб.102,поз.0010</t>
  </si>
  <si>
    <t>Лесоматериалы круглые хвойных пород для выработки пиломатериалов и заготовок(пластины)толщиной 20-24 см   II сорта</t>
  </si>
  <si>
    <t>102-0049</t>
  </si>
  <si>
    <t>ТССЦ Ульяновской обл,сб.102,поз.0049</t>
  </si>
  <si>
    <t>Пиломатериалы хвойных пород.Доски обрезные длиной 4-6.5 м, шириной 75-150 мм, толщиной 19-22 мм   III сорта</t>
  </si>
  <si>
    <t>102-0061</t>
  </si>
  <si>
    <t>ТССЦ Ульяновской обл,сб.102,поз.0061</t>
  </si>
  <si>
    <t>Пиломатериалы хвойных пород.Доски обрезные длиной 4-6.5 м, шириной 75-150 мм, толщиной 44 мм и более   III сорта</t>
  </si>
  <si>
    <t>203-9156</t>
  </si>
  <si>
    <t>ТССЦ Ульяновской обл,сб.203,поз.9156</t>
  </si>
  <si>
    <t>Приборы оконные</t>
  </si>
  <si>
    <t>компл.</t>
  </si>
  <si>
    <t>1-3.5-73</t>
  </si>
  <si>
    <t>Затраты труда рабочих-строителей (средний разряд 3.5)</t>
  </si>
  <si>
    <t>101-0388</t>
  </si>
  <si>
    <t>ТССЦ Ульяновской обл,сб.101,поз.0388</t>
  </si>
  <si>
    <t>Краски масляные земляные МА-0115  мумия, сурик железный</t>
  </si>
  <si>
    <t>101-0628</t>
  </si>
  <si>
    <t>ТССЦ Ульяновской обл,сб.101,поз.0628</t>
  </si>
  <si>
    <t>Олифа комбинированная К-3</t>
  </si>
  <si>
    <t>101-1669</t>
  </si>
  <si>
    <t>ТССЦ Ульяновской обл,сб.101,поз.1669</t>
  </si>
  <si>
    <t>Очес льняной</t>
  </si>
  <si>
    <t>300-1344</t>
  </si>
  <si>
    <t>ТССЦ Ульяновской обл,сб.300,поз.1344</t>
  </si>
  <si>
    <t>Вентили проходные муфтовые 15кч18п для воды, давлением 1.6 МПа(16 кгс/см2), диаметром 32 мм</t>
  </si>
  <si>
    <t>999-9899</t>
  </si>
  <si>
    <t>ТССЦ Ульяновской обл.,сб.999,поз.9899</t>
  </si>
  <si>
    <t>Строительный мусор и масса возвратных материалов</t>
  </si>
  <si>
    <t>1-4.0-73</t>
  </si>
  <si>
    <t>Затраты труда рабочих-строителей (средний разряд 4.0)</t>
  </si>
  <si>
    <t>040502</t>
  </si>
  <si>
    <t>344142</t>
  </si>
  <si>
    <t>Установки для сварки ручной дуговой (постоянного тока)</t>
  </si>
  <si>
    <t>040504</t>
  </si>
  <si>
    <t>364500</t>
  </si>
  <si>
    <t>Аппараты для газовой сварки и резки</t>
  </si>
  <si>
    <t>101-0324</t>
  </si>
  <si>
    <t>ТССЦ Ульяновской обл,сб.101,поз.0324</t>
  </si>
  <si>
    <t>Кислород технический газообразный</t>
  </si>
  <si>
    <t>101-0807</t>
  </si>
  <si>
    <t>ТССЦ Ульяновской обл,сб.101,поз.0807</t>
  </si>
  <si>
    <t>Проволока сварочная легированная  диаметром 4 мм</t>
  </si>
  <si>
    <t>101-1522</t>
  </si>
  <si>
    <t>ТССЦ Ульяновской обл,сб.101,поз.1522</t>
  </si>
  <si>
    <t>Электроды диаметром 5 мм  Э42А</t>
  </si>
  <si>
    <t>101-1602</t>
  </si>
  <si>
    <t>ТССЦ Ульяновской обл,сб.101,поз.1602</t>
  </si>
  <si>
    <t>Ацетилен газообразный технический</t>
  </si>
  <si>
    <t>300-0891</t>
  </si>
  <si>
    <t>ТССЦ Ульяновской обл,сб.300,поз.0891</t>
  </si>
  <si>
    <t>Узлы укрупненные монтажные(трубопроводы)из стальных водо-газопроводных оцинкованных труб с гильзами для водоснабжения, диаметром, мм:40</t>
  </si>
  <si>
    <t>м</t>
  </si>
  <si>
    <t>Поправка:  00_МДС_35_4.7  Наименование: 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</si>
  <si>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Поправка:  00_МДС_35_4.7
Наименование:
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</si>
  <si>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Поправка:  00_МДС_38_1.9  Наименование:  По работам, в технологии производства которых предусмотрена сварка металлоконструкций, металлопроката, стальных труб, листового металла, закладных деталей и др. металлоизделий, элементные сметные нормы и единичные расценки разработаны из условия применения углеродистой стали.При применении нержавеющей стали</t>
  </si>
  <si>
    <t>Поправка:  00_МДС_38_1.9
Наименование:
По работам, в технологии производства которых предусмотрена сварка металлоконструкций, металлопроката, стальных труб, листового металла, закладных деталей и др. металлоизделий, элементные сметные нормы и единичные расценки разработаны из условия применения углеродистой стали.При применении нержавеющей стали</t>
  </si>
  <si>
    <t>Форма 4</t>
  </si>
  <si>
    <t>"УТВЕРЖДАЮ"</t>
  </si>
  <si>
    <t>Смету в сумме</t>
  </si>
  <si>
    <t>№ п/п</t>
  </si>
  <si>
    <t>Шифр норм</t>
  </si>
  <si>
    <t>Наименование видов работ и затрат</t>
  </si>
  <si>
    <t>Единица измерения</t>
  </si>
  <si>
    <t>Объем</t>
  </si>
  <si>
    <t>Норма расхода</t>
  </si>
  <si>
    <t>Затраты на единицу измерения</t>
  </si>
  <si>
    <t>Общие затраты</t>
  </si>
  <si>
    <t>Трудо-затраты рабочих, чел.-ч</t>
  </si>
  <si>
    <t>Трудо-затраты маши-нистов, чел.-ч</t>
  </si>
  <si>
    <t>Стои-мость мате-риалов, руб.</t>
  </si>
  <si>
    <t>Стои-мость машин и механиз-мов, руб.</t>
  </si>
  <si>
    <t>Машины и механизмы:</t>
  </si>
  <si>
    <t>Материалы:</t>
  </si>
  <si>
    <t>Итого по локальной смете</t>
  </si>
  <si>
    <t>Составил</t>
  </si>
  <si>
    <t>Проверил</t>
  </si>
  <si>
    <t>НДС 18%</t>
  </si>
  <si>
    <t>Всего с НДС</t>
  </si>
  <si>
    <t>С М Е Т А № 01-07</t>
  </si>
  <si>
    <t>Мелекесского района Ульяновской области</t>
  </si>
  <si>
    <t>Непредвиденные расходы 1,5 %</t>
  </si>
  <si>
    <t>Составлена в текущих ценах</t>
  </si>
  <si>
    <t>"СОГЛАСОВЫВАЮ"</t>
  </si>
  <si>
    <t>Сметная стоимость</t>
  </si>
  <si>
    <t>Начальник УТЭР, ЖКХ и С</t>
  </si>
  <si>
    <t>Русаков В.И._____________________</t>
  </si>
  <si>
    <t>Директор МОУ Правдинская СОШ в п.Дивный</t>
  </si>
  <si>
    <t>Мартынова О.В._________________________</t>
  </si>
  <si>
    <t>И.О. Главы администрации</t>
  </si>
  <si>
    <t>Мелекесского района</t>
  </si>
  <si>
    <t>Костик Л.А.________________</t>
  </si>
  <si>
    <t>"_____" __________________ 2007 г.</t>
  </si>
  <si>
    <t>Хакимова Р.А.</t>
  </si>
  <si>
    <t>Семенова Л.Г.</t>
  </si>
  <si>
    <t>Переход в цены 2007 г.</t>
  </si>
  <si>
    <t>инд.3,54</t>
  </si>
  <si>
    <t>567776,34 т.руб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</si>
</sst>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i/>
      <sz val="9"/>
      <color indexed="36"/>
      <name val="Arial Cyr"/>
      <family val="0"/>
    </font>
    <font>
      <i/>
      <sz val="9"/>
      <color indexed="60"/>
      <name val="Arial Cyr"/>
      <family val="0"/>
    </font>
    <font>
      <i/>
      <sz val="9"/>
      <color indexed="17"/>
      <name val="Arial Cyr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vertical="top"/>
    </xf>
    <xf numFmtId="0" fontId="15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/>
    </xf>
    <xf numFmtId="0" fontId="16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 vertical="top" wrapText="1"/>
    </xf>
    <xf numFmtId="0" fontId="17" fillId="0" borderId="5" xfId="0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2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2" fontId="8" fillId="0" borderId="0" xfId="0" applyNumberFormat="1" applyFont="1" applyAlignment="1">
      <alignment horizontal="right" vertical="top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Border="1" applyAlignment="1">
      <alignment vertical="top"/>
    </xf>
    <xf numFmtId="2" fontId="12" fillId="0" borderId="0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showGridLines="0" tabSelected="1" workbookViewId="0" topLeftCell="B1">
      <selection activeCell="A5" sqref="A5"/>
    </sheetView>
  </sheetViews>
  <sheetFormatPr defaultColWidth="9.140625" defaultRowHeight="12.75"/>
  <cols>
    <col min="1" max="1" width="4.57421875" style="5" customWidth="1"/>
    <col min="2" max="2" width="13.57421875" style="5" customWidth="1"/>
    <col min="3" max="3" width="25.28125" style="5" customWidth="1"/>
    <col min="4" max="4" width="10.8515625" style="5" customWidth="1"/>
    <col min="5" max="5" width="8.7109375" style="5" customWidth="1"/>
    <col min="6" max="6" width="7.8515625" style="5" customWidth="1"/>
    <col min="7" max="7" width="10.7109375" style="5" customWidth="1"/>
    <col min="8" max="15" width="8.7109375" style="5" customWidth="1"/>
    <col min="16" max="16384" width="9.140625" style="5" customWidth="1"/>
  </cols>
  <sheetData>
    <row r="1" spans="5:14" ht="12.75">
      <c r="E1" s="8"/>
      <c r="N1" s="8" t="s">
        <v>387</v>
      </c>
    </row>
    <row r="2" spans="1:14" ht="15">
      <c r="A2" s="10" t="s">
        <v>413</v>
      </c>
      <c r="B2" s="10"/>
      <c r="C2" s="10"/>
      <c r="D2" s="10"/>
      <c r="E2" s="10"/>
      <c r="J2" s="10" t="s">
        <v>388</v>
      </c>
      <c r="K2" s="10"/>
      <c r="L2" s="10"/>
      <c r="M2" s="10"/>
      <c r="N2" s="10"/>
    </row>
    <row r="3" spans="1:14" ht="15">
      <c r="A3" s="10"/>
      <c r="B3" s="10"/>
      <c r="C3" s="10"/>
      <c r="D3" s="10"/>
      <c r="E3" s="10"/>
      <c r="J3" s="10"/>
      <c r="K3" s="10"/>
      <c r="L3" s="10"/>
      <c r="M3" s="10"/>
      <c r="N3" s="10"/>
    </row>
    <row r="4" spans="1:14" ht="15">
      <c r="A4" s="10" t="s">
        <v>415</v>
      </c>
      <c r="B4" s="10"/>
      <c r="C4" s="10"/>
      <c r="D4" s="10"/>
      <c r="E4" s="10"/>
      <c r="J4" s="10" t="s">
        <v>419</v>
      </c>
      <c r="K4" s="10"/>
      <c r="L4" s="10"/>
      <c r="M4" s="10"/>
      <c r="N4" s="10"/>
    </row>
    <row r="5" spans="1:14" ht="15">
      <c r="A5" s="10" t="s">
        <v>416</v>
      </c>
      <c r="B5" s="10"/>
      <c r="C5" s="10"/>
      <c r="D5" s="10"/>
      <c r="E5" s="10"/>
      <c r="J5" s="10" t="s">
        <v>420</v>
      </c>
      <c r="K5" s="10"/>
      <c r="L5" s="10"/>
      <c r="M5" s="10"/>
      <c r="N5" s="10"/>
    </row>
    <row r="6" spans="1:14" ht="15">
      <c r="A6" s="10" t="s">
        <v>417</v>
      </c>
      <c r="B6" s="10"/>
      <c r="C6" s="10"/>
      <c r="D6" s="10"/>
      <c r="E6" s="10"/>
      <c r="J6" s="10" t="s">
        <v>421</v>
      </c>
      <c r="K6" s="10"/>
      <c r="L6" s="10"/>
      <c r="M6" s="10"/>
      <c r="N6" s="10"/>
    </row>
    <row r="7" spans="1:14" ht="15">
      <c r="A7" s="10" t="s">
        <v>418</v>
      </c>
      <c r="B7" s="10"/>
      <c r="C7" s="10"/>
      <c r="D7" s="10"/>
      <c r="E7" s="10"/>
      <c r="J7" s="10"/>
      <c r="K7" s="10"/>
      <c r="L7" s="10"/>
      <c r="M7" s="10"/>
      <c r="N7" s="10"/>
    </row>
    <row r="8" spans="1:14" ht="15">
      <c r="A8" s="10"/>
      <c r="B8" s="10"/>
      <c r="C8" s="10"/>
      <c r="D8" s="10"/>
      <c r="E8" s="10"/>
      <c r="J8" s="10"/>
      <c r="K8" s="10"/>
      <c r="L8" s="10"/>
      <c r="M8" s="10"/>
      <c r="N8" s="10"/>
    </row>
    <row r="9" spans="1:14" ht="15">
      <c r="A9" s="10" t="s">
        <v>389</v>
      </c>
      <c r="B9" s="10"/>
      <c r="C9" s="10" t="str">
        <f>+L9</f>
        <v>567776,34 т.руб</v>
      </c>
      <c r="D9" s="10"/>
      <c r="E9" s="10"/>
      <c r="J9" s="10" t="s">
        <v>389</v>
      </c>
      <c r="K9" s="10"/>
      <c r="L9" s="10" t="str">
        <f>+L20</f>
        <v>567776,34 т.руб</v>
      </c>
      <c r="M9" s="10"/>
      <c r="N9" s="10"/>
    </row>
    <row r="10" spans="1:14" ht="15">
      <c r="A10" s="53"/>
      <c r="B10" s="53"/>
      <c r="C10" s="53"/>
      <c r="D10" s="53"/>
      <c r="E10" s="53"/>
      <c r="J10" s="53">
        <f>Source!AQ12</f>
      </c>
      <c r="K10" s="53"/>
      <c r="L10" s="53"/>
      <c r="M10" s="53"/>
      <c r="N10" s="53"/>
    </row>
    <row r="11" spans="1:14" ht="15">
      <c r="A11" s="53" t="str">
        <f>CONCATENATE(Source!K12,"_____________")</f>
        <v>_____________</v>
      </c>
      <c r="B11" s="53"/>
      <c r="C11" s="53"/>
      <c r="D11" s="53"/>
      <c r="E11" s="53"/>
      <c r="J11" s="53" t="str">
        <f>CONCATENATE(Source!T12,"_____________")</f>
        <v>_____________</v>
      </c>
      <c r="K11" s="53"/>
      <c r="L11" s="53"/>
      <c r="M11" s="53"/>
      <c r="N11" s="53"/>
    </row>
    <row r="12" spans="1:14" ht="15" customHeight="1">
      <c r="A12" s="10" t="s">
        <v>422</v>
      </c>
      <c r="B12" s="10"/>
      <c r="C12" s="10"/>
      <c r="D12" s="10"/>
      <c r="E12" s="10"/>
      <c r="J12" s="10" t="s">
        <v>422</v>
      </c>
      <c r="K12" s="10"/>
      <c r="L12" s="10"/>
      <c r="M12" s="10"/>
      <c r="N12" s="10"/>
    </row>
    <row r="13" ht="15" customHeight="1" hidden="1"/>
    <row r="16" spans="1:14" ht="18">
      <c r="A16" s="54" t="s">
        <v>409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8">
      <c r="A17" s="57" t="str">
        <f>IF(Source!G12&lt;&gt;"Новый объект",Source!G12,Source!F12)</f>
        <v>Ремонтные работы по МОУ Правдинская СОШ в п.Дивный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3:11" ht="18">
      <c r="C18" s="54" t="s">
        <v>410</v>
      </c>
      <c r="D18" s="55"/>
      <c r="E18" s="55"/>
      <c r="F18" s="55"/>
      <c r="G18" s="55"/>
      <c r="H18" s="55"/>
      <c r="I18" s="55"/>
      <c r="J18" s="55"/>
      <c r="K18" s="55"/>
    </row>
    <row r="19" spans="8:13" s="9" customFormat="1" ht="12.75">
      <c r="H19" s="5"/>
      <c r="I19" s="5"/>
      <c r="J19" s="5"/>
      <c r="K19" s="12"/>
      <c r="L19" s="5"/>
      <c r="M19" s="5"/>
    </row>
    <row r="20" spans="1:13" s="9" customFormat="1" ht="12.75">
      <c r="A20" s="9" t="s">
        <v>412</v>
      </c>
      <c r="H20" s="6" t="s">
        <v>414</v>
      </c>
      <c r="I20" s="6"/>
      <c r="J20" s="5"/>
      <c r="K20" s="5"/>
      <c r="L20" s="6" t="s">
        <v>427</v>
      </c>
      <c r="M20" s="7"/>
    </row>
    <row r="21" spans="1:14" ht="12.75">
      <c r="A21" s="56" t="s">
        <v>390</v>
      </c>
      <c r="B21" s="56" t="s">
        <v>391</v>
      </c>
      <c r="C21" s="56" t="s">
        <v>392</v>
      </c>
      <c r="D21" s="56" t="s">
        <v>393</v>
      </c>
      <c r="E21" s="56" t="s">
        <v>394</v>
      </c>
      <c r="F21" s="56" t="s">
        <v>395</v>
      </c>
      <c r="G21" s="56" t="s">
        <v>396</v>
      </c>
      <c r="H21" s="56"/>
      <c r="I21" s="56"/>
      <c r="J21" s="56"/>
      <c r="K21" s="56" t="s">
        <v>397</v>
      </c>
      <c r="L21" s="56"/>
      <c r="M21" s="56"/>
      <c r="N21" s="56"/>
    </row>
    <row r="22" spans="1:14" ht="76.5">
      <c r="A22" s="56"/>
      <c r="B22" s="56"/>
      <c r="C22" s="56"/>
      <c r="D22" s="56"/>
      <c r="E22" s="56"/>
      <c r="F22" s="56"/>
      <c r="G22" s="11" t="s">
        <v>398</v>
      </c>
      <c r="H22" s="11" t="s">
        <v>399</v>
      </c>
      <c r="I22" s="11" t="s">
        <v>400</v>
      </c>
      <c r="J22" s="11" t="s">
        <v>401</v>
      </c>
      <c r="K22" s="11" t="s">
        <v>398</v>
      </c>
      <c r="L22" s="11" t="s">
        <v>399</v>
      </c>
      <c r="M22" s="11" t="s">
        <v>400</v>
      </c>
      <c r="N22" s="11" t="s">
        <v>401</v>
      </c>
    </row>
    <row r="23" spans="1:14" ht="12.75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>
        <v>11</v>
      </c>
      <c r="L23" s="11">
        <v>12</v>
      </c>
      <c r="M23" s="11">
        <v>13</v>
      </c>
      <c r="N23" s="11">
        <v>14</v>
      </c>
    </row>
    <row r="24" ht="12.75" hidden="1"/>
    <row r="25" spans="1:14" s="13" customFormat="1" ht="18">
      <c r="A25" s="15"/>
      <c r="C25" s="14"/>
      <c r="N25" s="16"/>
    </row>
    <row r="26" spans="1:14" ht="6" customHeight="1">
      <c r="A26" s="17"/>
      <c r="N26" s="18"/>
    </row>
    <row r="27" ht="12.75">
      <c r="C27" s="19" t="str">
        <f>Source!G24</f>
        <v>Ремонт кровли</v>
      </c>
    </row>
    <row r="28" spans="1:14" ht="51">
      <c r="A28" s="25">
        <f>Source!E25</f>
        <v>1</v>
      </c>
      <c r="B28" s="26" t="str">
        <f>Source!BJ25</f>
        <v>ТЕРр Ульяновской обл.,сб.58,поз.17-4</v>
      </c>
      <c r="C28" s="26" t="str">
        <f>Source!G25</f>
        <v>Разборка покрытий кровель из волнистых и полуволнистых асбестоцементных листов</v>
      </c>
      <c r="D28" s="26" t="str">
        <f>Source!H25</f>
        <v>100 м2</v>
      </c>
      <c r="E28" s="27">
        <f>Source!I25</f>
        <v>18.1</v>
      </c>
      <c r="F28" s="27"/>
      <c r="G28" s="28">
        <f>IF(Source!AH25=0,"",ROUND(Source!AH25,2))</f>
        <v>24.39</v>
      </c>
      <c r="H28" s="28">
        <f>IF(Source!AI25=0,"",ROUND(Source!AI25,2))</f>
      </c>
      <c r="I28" s="28">
        <f>IF(Source!AC25=0,"",ROUND(Source!AC25,2))</f>
      </c>
      <c r="J28" s="28">
        <f>IF(Source!AD25=0,"",ROUND(Source!AD25,2))</f>
        <v>1.75</v>
      </c>
      <c r="K28" s="28">
        <f>IF(Source!U25=0,"",ROUND(Source!U25,2))</f>
        <v>441.46</v>
      </c>
      <c r="L28" s="28">
        <f>IF(Source!V25=0,"",ROUND(Source!V25,2))</f>
      </c>
      <c r="M28" s="28">
        <f>IF(Source!P25=0,"",ROUND(Source!P25,2))</f>
      </c>
      <c r="N28" s="28">
        <f>IF(Source!Q25=0,"",ROUND(Source!Q25,2))</f>
        <v>31.68</v>
      </c>
    </row>
    <row r="29" spans="1:14" s="20" customFormat="1" ht="36">
      <c r="A29" s="29"/>
      <c r="B29" s="30" t="str">
        <f>SmtRes!I1</f>
        <v>1-2.0-73</v>
      </c>
      <c r="C29" s="30" t="str">
        <f>SmtRes!K1</f>
        <v>Затраты труда рабочих-строителей (средний разряд 2.0)</v>
      </c>
      <c r="D29" s="30" t="str">
        <f>SmtRes!O1</f>
        <v>чел.ч</v>
      </c>
      <c r="E29" s="29">
        <f>SmtRes!Y1*Source!I25</f>
        <v>441.45900000000006</v>
      </c>
      <c r="F29" s="29">
        <f>SmtRes!Y1</f>
        <v>24.39</v>
      </c>
      <c r="G29" s="29"/>
      <c r="H29" s="29"/>
      <c r="I29" s="29">
        <f>IF(SmtRes!AA1=0,"",ROUND(SmtRes!AA1,2))</f>
      </c>
      <c r="J29" s="29">
        <f>IF(SmtRes!AB1=0,"",ROUND(SmtRes!AB1,2))</f>
      </c>
      <c r="K29" s="29"/>
      <c r="L29" s="29"/>
      <c r="M29" s="29">
        <f>IF(SmtRes!AA1=0,"",ROUND(SmtRes!AA1*E29,2))</f>
      </c>
      <c r="N29" s="29">
        <f>IF(SmtRes!AB1=0,"",ROUND(SmtRes!AB1*E29,2))</f>
      </c>
    </row>
    <row r="30" spans="1:14" ht="12.75">
      <c r="A30" s="52" t="s">
        <v>402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21" customFormat="1" ht="36">
      <c r="A31" s="31"/>
      <c r="B31" s="32" t="str">
        <f>SmtRes!I2</f>
        <v>030401</v>
      </c>
      <c r="C31" s="32" t="str">
        <f>SmtRes!K2</f>
        <v>Лебедки электрические, тяговым усилием до 5,79 (0,59) кH (т)</v>
      </c>
      <c r="D31" s="32" t="str">
        <f>SmtRes!O2</f>
        <v>маш.-ч</v>
      </c>
      <c r="E31" s="31">
        <f>SmtRes!Y2*Source!I25</f>
        <v>11.403</v>
      </c>
      <c r="F31" s="31">
        <f>SmtRes!Y2</f>
        <v>0.63</v>
      </c>
      <c r="G31" s="31"/>
      <c r="H31" s="31"/>
      <c r="I31" s="31">
        <f>IF(SmtRes!AA2=0,"",ROUND(SmtRes!AA2,2))</f>
      </c>
      <c r="J31" s="31">
        <f>IF(SmtRes!AB2=0,"",ROUND(SmtRes!AB2,2))</f>
        <v>2.77</v>
      </c>
      <c r="K31" s="31"/>
      <c r="L31" s="31"/>
      <c r="M31" s="31">
        <f>IF(SmtRes!AA2=0,"",ROUND(SmtRes!AA2*E31,2))</f>
      </c>
      <c r="N31" s="31">
        <f>IF(SmtRes!AB2=0,"",ROUND(SmtRes!AB2*E31,2))</f>
        <v>31.59</v>
      </c>
    </row>
    <row r="32" spans="1:14" ht="12.75">
      <c r="A32" s="52" t="s">
        <v>403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22" customFormat="1" ht="12">
      <c r="A33" s="33"/>
      <c r="B33" s="34" t="str">
        <f>SmtRes!I3</f>
        <v>999-9900</v>
      </c>
      <c r="C33" s="34" t="str">
        <f>SmtRes!K3</f>
        <v>Строительный мусор</v>
      </c>
      <c r="D33" s="34" t="str">
        <f>SmtRes!O3</f>
        <v>т</v>
      </c>
      <c r="E33" s="33">
        <f>SmtRes!Y3*Source!I25</f>
        <v>26.245</v>
      </c>
      <c r="F33" s="33">
        <f>SmtRes!Y3</f>
        <v>1.45</v>
      </c>
      <c r="G33" s="33"/>
      <c r="H33" s="33"/>
      <c r="I33" s="33">
        <f>IF(SmtRes!AA3=0,"",ROUND(SmtRes!AA3,2))</f>
      </c>
      <c r="J33" s="33">
        <f>IF(SmtRes!AB3=0,"",ROUND(SmtRes!AB3,2))</f>
      </c>
      <c r="K33" s="33"/>
      <c r="L33" s="33"/>
      <c r="M33" s="33">
        <f>IF(SmtRes!AA3=0,"",ROUND(SmtRes!AA3*E33,2))</f>
      </c>
      <c r="N33" s="33">
        <f>IF(SmtRes!AB3=0,"",ROUND(SmtRes!AB3*E33,2))</f>
      </c>
    </row>
    <row r="34" spans="1:14" ht="51">
      <c r="A34" s="25">
        <f>Source!E26</f>
        <v>2</v>
      </c>
      <c r="B34" s="26" t="str">
        <f>Source!BJ26</f>
        <v>ТЕРр Ульяновской обл.,сб.58,поз.18-2</v>
      </c>
      <c r="C34" s="26" t="str">
        <f>Source!G26</f>
        <v>Смена обрешетки с прозорами из досок толщиной до 50 мм</v>
      </c>
      <c r="D34" s="26" t="str">
        <f>Source!H26</f>
        <v>100 м2</v>
      </c>
      <c r="E34" s="27">
        <f>Source!I26</f>
        <v>0.6</v>
      </c>
      <c r="F34" s="27"/>
      <c r="G34" s="28">
        <f>IF(Source!AH26=0,"",ROUND(Source!AH26,2))</f>
        <v>65.12</v>
      </c>
      <c r="H34" s="28">
        <f>IF(Source!AI26=0,"",ROUND(Source!AI26,2))</f>
        <v>0.28</v>
      </c>
      <c r="I34" s="28">
        <f>IF(Source!AC26=0,"",ROUND(Source!AC26,2))</f>
        <v>1360.9</v>
      </c>
      <c r="J34" s="28">
        <f>IF(Source!AD26=0,"",ROUND(Source!AD26,2))</f>
        <v>18.1</v>
      </c>
      <c r="K34" s="28">
        <f>IF(Source!U26=0,"",ROUND(Source!U26,2))</f>
        <v>39.07</v>
      </c>
      <c r="L34" s="28">
        <f>IF(Source!V26=0,"",ROUND(Source!V26,2))</f>
        <v>0.17</v>
      </c>
      <c r="M34" s="28">
        <f>IF(Source!P26=0,"",ROUND(Source!P26,2))</f>
        <v>816.54</v>
      </c>
      <c r="N34" s="28">
        <f>IF(Source!Q26=0,"",ROUND(Source!Q26,2))</f>
        <v>10.86</v>
      </c>
    </row>
    <row r="35" spans="1:14" s="20" customFormat="1" ht="36">
      <c r="A35" s="29"/>
      <c r="B35" s="30" t="str">
        <f>SmtRes!I4</f>
        <v>1-2.2-73</v>
      </c>
      <c r="C35" s="30" t="str">
        <f>SmtRes!K4</f>
        <v>Затраты труда рабочих-строителей (средний разряд 2.2)</v>
      </c>
      <c r="D35" s="30" t="str">
        <f>SmtRes!O4</f>
        <v>чел.ч</v>
      </c>
      <c r="E35" s="29">
        <f>SmtRes!Y4*Source!I26</f>
        <v>39.072</v>
      </c>
      <c r="F35" s="29">
        <f>SmtRes!Y4</f>
        <v>65.12</v>
      </c>
      <c r="G35" s="29"/>
      <c r="H35" s="29"/>
      <c r="I35" s="29">
        <f>IF(SmtRes!AA4=0,"",ROUND(SmtRes!AA4,2))</f>
      </c>
      <c r="J35" s="29">
        <f>IF(SmtRes!AB4=0,"",ROUND(SmtRes!AB4,2))</f>
      </c>
      <c r="K35" s="29"/>
      <c r="L35" s="29"/>
      <c r="M35" s="29">
        <f>IF(SmtRes!AA4=0,"",ROUND(SmtRes!AA4*E35,2))</f>
      </c>
      <c r="N35" s="29">
        <f>IF(SmtRes!AB4=0,"",ROUND(SmtRes!AB4*E35,2))</f>
      </c>
    </row>
    <row r="36" spans="1:14" s="20" customFormat="1" ht="24">
      <c r="A36" s="29"/>
      <c r="B36" s="30" t="str">
        <f>SmtRes!I5</f>
        <v>2</v>
      </c>
      <c r="C36" s="30" t="str">
        <f>SmtRes!K5</f>
        <v>Затраты труда машинистов</v>
      </c>
      <c r="D36" s="30" t="str">
        <f>SmtRes!O5</f>
        <v>чел.час</v>
      </c>
      <c r="E36" s="29">
        <f>SmtRes!Y5*Source!I26</f>
        <v>0.168</v>
      </c>
      <c r="F36" s="29">
        <f>SmtRes!Y5</f>
        <v>0.28</v>
      </c>
      <c r="G36" s="29"/>
      <c r="H36" s="29"/>
      <c r="I36" s="29">
        <f>IF(SmtRes!AA5=0,"",ROUND(SmtRes!AA5,2))</f>
      </c>
      <c r="J36" s="29">
        <f>IF(SmtRes!AB5=0,"",ROUND(SmtRes!AB5,2))</f>
      </c>
      <c r="K36" s="29"/>
      <c r="L36" s="29"/>
      <c r="M36" s="29">
        <f>IF(SmtRes!AA5=0,"",ROUND(SmtRes!AA5*E36,2))</f>
      </c>
      <c r="N36" s="29">
        <f>IF(SmtRes!AB5=0,"",ROUND(SmtRes!AB5*E36,2))</f>
      </c>
    </row>
    <row r="37" spans="1:14" ht="12.75">
      <c r="A37" s="52" t="s">
        <v>402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21" customFormat="1" ht="36">
      <c r="A38" s="31"/>
      <c r="B38" s="32" t="str">
        <f>SmtRes!I6</f>
        <v>030401</v>
      </c>
      <c r="C38" s="32" t="str">
        <f>SmtRes!K6</f>
        <v>Лебедки электрические, тяговым усилием до 5,79 (0,59) кH (т)</v>
      </c>
      <c r="D38" s="32" t="str">
        <f>SmtRes!O6</f>
        <v>маш.-ч</v>
      </c>
      <c r="E38" s="31">
        <f>SmtRes!Y6*Source!I26</f>
        <v>0.23399999999999999</v>
      </c>
      <c r="F38" s="31">
        <f>SmtRes!Y6</f>
        <v>0.39</v>
      </c>
      <c r="G38" s="31"/>
      <c r="H38" s="31"/>
      <c r="I38" s="31">
        <f>IF(SmtRes!AA6=0,"",ROUND(SmtRes!AA6,2))</f>
      </c>
      <c r="J38" s="31">
        <f>IF(SmtRes!AB6=0,"",ROUND(SmtRes!AB6,2))</f>
        <v>2.77</v>
      </c>
      <c r="K38" s="31"/>
      <c r="L38" s="31"/>
      <c r="M38" s="31">
        <f>IF(SmtRes!AA6=0,"",ROUND(SmtRes!AA6*E38,2))</f>
      </c>
      <c r="N38" s="31">
        <f>IF(SmtRes!AB6=0,"",ROUND(SmtRes!AB6*E38,2))</f>
        <v>0.65</v>
      </c>
    </row>
    <row r="39" spans="1:14" s="21" customFormat="1" ht="24">
      <c r="A39" s="31"/>
      <c r="B39" s="32" t="str">
        <f>SmtRes!I7</f>
        <v>400001</v>
      </c>
      <c r="C39" s="32" t="str">
        <f>SmtRes!K7</f>
        <v>Автомобили бортовые грузоподъемностью до 5 т</v>
      </c>
      <c r="D39" s="32" t="str">
        <f>SmtRes!O7</f>
        <v>маш.-ч</v>
      </c>
      <c r="E39" s="31">
        <f>SmtRes!Y7*Source!I26</f>
        <v>0.168</v>
      </c>
      <c r="F39" s="31">
        <f>SmtRes!Y7</f>
        <v>0.28</v>
      </c>
      <c r="G39" s="31"/>
      <c r="H39" s="31"/>
      <c r="I39" s="31">
        <f>IF(SmtRes!AA7=0,"",ROUND(SmtRes!AA7,2))</f>
      </c>
      <c r="J39" s="31">
        <f>IF(SmtRes!AB7=0,"",ROUND(SmtRes!AB7,2))</f>
        <v>60.77</v>
      </c>
      <c r="K39" s="31"/>
      <c r="L39" s="31"/>
      <c r="M39" s="31">
        <f>IF(SmtRes!AA7=0,"",ROUND(SmtRes!AA7*E39,2))</f>
      </c>
      <c r="N39" s="31">
        <f>IF(SmtRes!AB7=0,"",ROUND(SmtRes!AB7*E39,2))</f>
        <v>10.21</v>
      </c>
    </row>
    <row r="40" spans="1:14" ht="12.75">
      <c r="A40" s="52" t="s">
        <v>403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22" customFormat="1" ht="12">
      <c r="A41" s="35"/>
      <c r="B41" s="36" t="str">
        <f>SmtRes!I8</f>
        <v>101-1805</v>
      </c>
      <c r="C41" s="36" t="str">
        <f>SmtRes!K8</f>
        <v>Гвозди строительные</v>
      </c>
      <c r="D41" s="36" t="str">
        <f>SmtRes!O8</f>
        <v>т</v>
      </c>
      <c r="E41" s="35">
        <f>SmtRes!Y8*Source!I26</f>
        <v>0.0024</v>
      </c>
      <c r="F41" s="35">
        <f>SmtRes!Y8</f>
        <v>0.004</v>
      </c>
      <c r="G41" s="35"/>
      <c r="H41" s="35"/>
      <c r="I41" s="35">
        <f>IF(SmtRes!AA8=0,"",ROUND(SmtRes!AA8,2))</f>
        <v>7696.95</v>
      </c>
      <c r="J41" s="35">
        <f>IF(SmtRes!AB8=0,"",ROUND(SmtRes!AB8,2))</f>
      </c>
      <c r="K41" s="35"/>
      <c r="L41" s="35"/>
      <c r="M41" s="35">
        <f>IF(SmtRes!AA8=0,"",ROUND(SmtRes!AA8*E41,2))</f>
        <v>18.47</v>
      </c>
      <c r="N41" s="35">
        <f>IF(SmtRes!AB8=0,"",ROUND(SmtRes!AB8*E41,2))</f>
      </c>
    </row>
    <row r="42" spans="1:14" s="22" customFormat="1" ht="60">
      <c r="A42" s="35"/>
      <c r="B42" s="36" t="str">
        <f>SmtRes!I9</f>
        <v>102-0080</v>
      </c>
      <c r="C42" s="36" t="str">
        <f>SmtRes!K9</f>
        <v>Пиломатериалы хвойных пород.Доски необрезные длиной 4-6.5 м, все ширины, толщиной 44 мм и более   II сорта</v>
      </c>
      <c r="D42" s="36" t="str">
        <f>SmtRes!O9</f>
        <v>м3</v>
      </c>
      <c r="E42" s="35">
        <f>SmtRes!Y9*Source!I26</f>
        <v>0.78</v>
      </c>
      <c r="F42" s="35">
        <f>SmtRes!Y9</f>
        <v>1.3</v>
      </c>
      <c r="G42" s="35"/>
      <c r="H42" s="35"/>
      <c r="I42" s="35">
        <f>IF(SmtRes!AA9=0,"",ROUND(SmtRes!AA9,2))</f>
        <v>1023.16</v>
      </c>
      <c r="J42" s="35">
        <f>IF(SmtRes!AB9=0,"",ROUND(SmtRes!AB9,2))</f>
      </c>
      <c r="K42" s="35"/>
      <c r="L42" s="35"/>
      <c r="M42" s="35">
        <f>IF(SmtRes!AA9=0,"",ROUND(SmtRes!AA9*E42,2))</f>
        <v>798.06</v>
      </c>
      <c r="N42" s="35">
        <f>IF(SmtRes!AB9=0,"",ROUND(SmtRes!AB9*E42,2))</f>
      </c>
    </row>
    <row r="43" spans="1:14" s="22" customFormat="1" ht="12">
      <c r="A43" s="33"/>
      <c r="B43" s="34" t="str">
        <f>SmtRes!I10</f>
        <v>999-9900</v>
      </c>
      <c r="C43" s="34" t="str">
        <f>SmtRes!K10</f>
        <v>Строительный мусор</v>
      </c>
      <c r="D43" s="34" t="str">
        <f>SmtRes!O10</f>
        <v>т</v>
      </c>
      <c r="E43" s="33">
        <f>SmtRes!Y10*Source!I26</f>
        <v>1.2659999999999998</v>
      </c>
      <c r="F43" s="33">
        <f>SmtRes!Y10</f>
        <v>2.11</v>
      </c>
      <c r="G43" s="33"/>
      <c r="H43" s="33"/>
      <c r="I43" s="33">
        <f>IF(SmtRes!AA10=0,"",ROUND(SmtRes!AA10,2))</f>
      </c>
      <c r="J43" s="33">
        <f>IF(SmtRes!AB10=0,"",ROUND(SmtRes!AB10,2))</f>
      </c>
      <c r="K43" s="33"/>
      <c r="L43" s="33"/>
      <c r="M43" s="33">
        <f>IF(SmtRes!AA10=0,"",ROUND(SmtRes!AA10*E43,2))</f>
      </c>
      <c r="N43" s="33">
        <f>IF(SmtRes!AB10=0,"",ROUND(SmtRes!AB10*E43,2))</f>
      </c>
    </row>
    <row r="44" spans="1:14" ht="51">
      <c r="A44" s="25">
        <v>3</v>
      </c>
      <c r="B44" s="26" t="str">
        <f>Source!BJ27</f>
        <v>ТЕРр Ульяновской обл.,сб.58,поз.20-2</v>
      </c>
      <c r="C44" s="26" t="str">
        <f>Source!G27</f>
        <v>Смена обделок из листовой стали поясков, сандриков, отливов, карнизов шириной до 0,7 м</v>
      </c>
      <c r="D44" s="26" t="str">
        <f>Source!H27</f>
        <v>100 м</v>
      </c>
      <c r="E44" s="27">
        <f>Source!I27</f>
        <v>1.8</v>
      </c>
      <c r="F44" s="27"/>
      <c r="G44" s="28">
        <f>IF(Source!AH27=0,"",ROUND(Source!AH27,2))</f>
        <v>63.22</v>
      </c>
      <c r="H44" s="28">
        <f>IF(Source!AI27=0,"",ROUND(Source!AI27,2))</f>
        <v>0.2</v>
      </c>
      <c r="I44" s="28">
        <f>IF(Source!AC27=0,"",ROUND(Source!AC27,2))</f>
        <v>4057.87</v>
      </c>
      <c r="J44" s="28">
        <f>IF(Source!AD27=0,"",ROUND(Source!AD27,2))</f>
        <v>5.51</v>
      </c>
      <c r="K44" s="28">
        <f>IF(Source!U27=0,"",ROUND(Source!U27,2))</f>
        <v>113.8</v>
      </c>
      <c r="L44" s="28">
        <f>IF(Source!V27=0,"",ROUND(Source!V27,2))</f>
        <v>0.36</v>
      </c>
      <c r="M44" s="28">
        <f>IF(Source!P27=0,"",ROUND(Source!P27,2))</f>
        <v>7304.17</v>
      </c>
      <c r="N44" s="28">
        <f>IF(Source!Q27=0,"",ROUND(Source!Q27,2))</f>
        <v>9.92</v>
      </c>
    </row>
    <row r="45" spans="1:14" s="20" customFormat="1" ht="36">
      <c r="A45" s="29"/>
      <c r="B45" s="30" t="str">
        <f>SmtRes!I11</f>
        <v>1-3.0-73</v>
      </c>
      <c r="C45" s="30" t="str">
        <f>SmtRes!K11</f>
        <v>Затраты труда рабочих-строителей (средний разряд 3.0)</v>
      </c>
      <c r="D45" s="30" t="str">
        <f>SmtRes!O11</f>
        <v>чел.ч</v>
      </c>
      <c r="E45" s="29">
        <f>SmtRes!Y11*Source!I27</f>
        <v>113.796</v>
      </c>
      <c r="F45" s="29">
        <f>SmtRes!Y11</f>
        <v>63.22</v>
      </c>
      <c r="G45" s="29"/>
      <c r="H45" s="29"/>
      <c r="I45" s="29">
        <f>IF(SmtRes!AA11=0,"",ROUND(SmtRes!AA11,2))</f>
      </c>
      <c r="J45" s="29">
        <f>IF(SmtRes!AB11=0,"",ROUND(SmtRes!AB11,2))</f>
      </c>
      <c r="K45" s="29"/>
      <c r="L45" s="29"/>
      <c r="M45" s="29">
        <f>IF(SmtRes!AA11=0,"",ROUND(SmtRes!AA11*E45,2))</f>
      </c>
      <c r="N45" s="29">
        <f>IF(SmtRes!AB11=0,"",ROUND(SmtRes!AB11*E45,2))</f>
      </c>
    </row>
    <row r="46" spans="1:14" s="20" customFormat="1" ht="24">
      <c r="A46" s="29"/>
      <c r="B46" s="30" t="str">
        <f>SmtRes!I12</f>
        <v>2</v>
      </c>
      <c r="C46" s="30" t="str">
        <f>SmtRes!K12</f>
        <v>Затраты труда машинистов</v>
      </c>
      <c r="D46" s="30" t="str">
        <f>SmtRes!O12</f>
        <v>чел.час</v>
      </c>
      <c r="E46" s="29">
        <f>SmtRes!Y12*Source!I27</f>
        <v>0.36000000000000004</v>
      </c>
      <c r="F46" s="29">
        <f>SmtRes!Y12</f>
        <v>0.2</v>
      </c>
      <c r="G46" s="29"/>
      <c r="H46" s="29"/>
      <c r="I46" s="29">
        <f>IF(SmtRes!AA12=0,"",ROUND(SmtRes!AA12,2))</f>
      </c>
      <c r="J46" s="29">
        <f>IF(SmtRes!AB12=0,"",ROUND(SmtRes!AB12,2))</f>
      </c>
      <c r="K46" s="29"/>
      <c r="L46" s="29"/>
      <c r="M46" s="29">
        <f>IF(SmtRes!AA12=0,"",ROUND(SmtRes!AA12*E46,2))</f>
      </c>
      <c r="N46" s="29">
        <f>IF(SmtRes!AB12=0,"",ROUND(SmtRes!AB12*E46,2))</f>
      </c>
    </row>
    <row r="47" spans="1:14" ht="12.75">
      <c r="A47" s="52" t="s">
        <v>402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s="21" customFormat="1" ht="24">
      <c r="A48" s="31"/>
      <c r="B48" s="32" t="str">
        <f>SmtRes!I13</f>
        <v>031121</v>
      </c>
      <c r="C48" s="32" t="str">
        <f>SmtRes!K13</f>
        <v>Подъемники мачтовые строительные 0.5 т</v>
      </c>
      <c r="D48" s="32" t="str">
        <f>SmtRes!O13</f>
        <v>маш.-ч</v>
      </c>
      <c r="E48" s="31">
        <f>SmtRes!Y13*Source!I27</f>
        <v>0.25200000000000006</v>
      </c>
      <c r="F48" s="31">
        <f>SmtRes!Y13</f>
        <v>0.14</v>
      </c>
      <c r="G48" s="31"/>
      <c r="H48" s="31"/>
      <c r="I48" s="31">
        <f>IF(SmtRes!AA13=0,"",ROUND(SmtRes!AA13,2))</f>
      </c>
      <c r="J48" s="31">
        <f>IF(SmtRes!AB13=0,"",ROUND(SmtRes!AB13,2))</f>
        <v>13.25</v>
      </c>
      <c r="K48" s="31"/>
      <c r="L48" s="31"/>
      <c r="M48" s="31">
        <f>IF(SmtRes!AA13=0,"",ROUND(SmtRes!AA13*E48,2))</f>
      </c>
      <c r="N48" s="31">
        <f>IF(SmtRes!AB13=0,"",ROUND(SmtRes!AB13*E48,2))</f>
        <v>3.34</v>
      </c>
    </row>
    <row r="49" spans="1:14" s="21" customFormat="1" ht="24">
      <c r="A49" s="31"/>
      <c r="B49" s="32" t="str">
        <f>SmtRes!I14</f>
        <v>400001</v>
      </c>
      <c r="C49" s="32" t="str">
        <f>SmtRes!K14</f>
        <v>Автомобили бортовые грузоподъемностью до 5 т</v>
      </c>
      <c r="D49" s="32" t="str">
        <f>SmtRes!O14</f>
        <v>маш.-ч</v>
      </c>
      <c r="E49" s="31">
        <f>SmtRes!Y14*Source!I27</f>
        <v>0.108</v>
      </c>
      <c r="F49" s="31">
        <f>SmtRes!Y14</f>
        <v>0.06</v>
      </c>
      <c r="G49" s="31"/>
      <c r="H49" s="31"/>
      <c r="I49" s="31">
        <f>IF(SmtRes!AA14=0,"",ROUND(SmtRes!AA14,2))</f>
      </c>
      <c r="J49" s="31">
        <f>IF(SmtRes!AB14=0,"",ROUND(SmtRes!AB14,2))</f>
        <v>60.77</v>
      </c>
      <c r="K49" s="31"/>
      <c r="L49" s="31"/>
      <c r="M49" s="31">
        <f>IF(SmtRes!AA14=0,"",ROUND(SmtRes!AA14*E49,2))</f>
      </c>
      <c r="N49" s="31">
        <f>IF(SmtRes!AB14=0,"",ROUND(SmtRes!AB14*E49,2))</f>
        <v>6.56</v>
      </c>
    </row>
    <row r="50" spans="1:14" ht="12.75">
      <c r="A50" s="52" t="s">
        <v>403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s="22" customFormat="1" ht="36">
      <c r="A51" s="35"/>
      <c r="B51" s="36" t="str">
        <f>SmtRes!I15</f>
        <v>101-0794</v>
      </c>
      <c r="C51" s="36" t="str">
        <f>SmtRes!K15</f>
        <v>Проволока катанная оцинкованная  диаметром 2.6 мм</v>
      </c>
      <c r="D51" s="36" t="str">
        <f>SmtRes!O15</f>
        <v>т</v>
      </c>
      <c r="E51" s="35">
        <f>SmtRes!Y15*Source!I27</f>
        <v>0.0108</v>
      </c>
      <c r="F51" s="35">
        <f>SmtRes!Y15</f>
        <v>0.006</v>
      </c>
      <c r="G51" s="35"/>
      <c r="H51" s="35"/>
      <c r="I51" s="35">
        <f>IF(SmtRes!AA15=0,"",ROUND(SmtRes!AA15,2))</f>
        <v>11545.42</v>
      </c>
      <c r="J51" s="35">
        <f>IF(SmtRes!AB15=0,"",ROUND(SmtRes!AB15,2))</f>
      </c>
      <c r="K51" s="35"/>
      <c r="L51" s="35"/>
      <c r="M51" s="35">
        <f>IF(SmtRes!AA15=0,"",ROUND(SmtRes!AA15*E51,2))</f>
        <v>124.69</v>
      </c>
      <c r="N51" s="35">
        <f>IF(SmtRes!AB15=0,"",ROUND(SmtRes!AB15*E51,2))</f>
      </c>
    </row>
    <row r="52" spans="1:14" s="22" customFormat="1" ht="12">
      <c r="A52" s="35"/>
      <c r="B52" s="36" t="str">
        <f>SmtRes!I16</f>
        <v>101-1805</v>
      </c>
      <c r="C52" s="36" t="str">
        <f>SmtRes!K16</f>
        <v>Гвозди строительные</v>
      </c>
      <c r="D52" s="36" t="str">
        <f>SmtRes!O16</f>
        <v>т</v>
      </c>
      <c r="E52" s="35">
        <f>SmtRes!Y16*Source!I27</f>
        <v>0.007200000000000001</v>
      </c>
      <c r="F52" s="35">
        <f>SmtRes!Y16</f>
        <v>0.004</v>
      </c>
      <c r="G52" s="35"/>
      <c r="H52" s="35"/>
      <c r="I52" s="35">
        <f>IF(SmtRes!AA16=0,"",ROUND(SmtRes!AA16,2))</f>
        <v>7696.95</v>
      </c>
      <c r="J52" s="35">
        <f>IF(SmtRes!AB16=0,"",ROUND(SmtRes!AB16,2))</f>
      </c>
      <c r="K52" s="35"/>
      <c r="L52" s="35"/>
      <c r="M52" s="35">
        <f>IF(SmtRes!AA16=0,"",ROUND(SmtRes!AA16*E52,2))</f>
        <v>55.42</v>
      </c>
      <c r="N52" s="35">
        <f>IF(SmtRes!AB16=0,"",ROUND(SmtRes!AB16*E52,2))</f>
      </c>
    </row>
    <row r="53" spans="1:14" s="22" customFormat="1" ht="36">
      <c r="A53" s="35"/>
      <c r="B53" s="36" t="str">
        <f>SmtRes!I17</f>
        <v>101-9351</v>
      </c>
      <c r="C53" s="36" t="str">
        <f>SmtRes!K17</f>
        <v>Сталь листовая оцинкованная толщиной листа 0,7 мм</v>
      </c>
      <c r="D53" s="36" t="str">
        <f>SmtRes!O17</f>
        <v>т</v>
      </c>
      <c r="E53" s="35">
        <f>SmtRes!Y17*Source!I27</f>
        <v>0.5832</v>
      </c>
      <c r="F53" s="35">
        <f>SmtRes!Y17</f>
        <v>0.324</v>
      </c>
      <c r="G53" s="35"/>
      <c r="H53" s="35"/>
      <c r="I53" s="35">
        <f>IF(SmtRes!AA17=0,"",ROUND(SmtRes!AA17,2))</f>
        <v>11200</v>
      </c>
      <c r="J53" s="35">
        <f>IF(SmtRes!AB17=0,"",ROUND(SmtRes!AB17,2))</f>
      </c>
      <c r="K53" s="35"/>
      <c r="L53" s="35"/>
      <c r="M53" s="35">
        <f>IF(SmtRes!AA17=0,"",ROUND(SmtRes!AA17*E53,2))</f>
        <v>6531.84</v>
      </c>
      <c r="N53" s="35">
        <f>IF(SmtRes!AB17=0,"",ROUND(SmtRes!AB17*E53,2))</f>
      </c>
    </row>
    <row r="54" spans="1:14" s="22" customFormat="1" ht="12">
      <c r="A54" s="33"/>
      <c r="B54" s="34" t="str">
        <f>SmtRes!I18</f>
        <v>999-9900</v>
      </c>
      <c r="C54" s="34" t="str">
        <f>SmtRes!K18</f>
        <v>Строительный мусор</v>
      </c>
      <c r="D54" s="34" t="str">
        <f>SmtRes!O18</f>
        <v>т</v>
      </c>
      <c r="E54" s="33">
        <f>SmtRes!Y18*Source!I27</f>
        <v>0.5940000000000001</v>
      </c>
      <c r="F54" s="33">
        <f>SmtRes!Y18</f>
        <v>0.33</v>
      </c>
      <c r="G54" s="33"/>
      <c r="H54" s="33"/>
      <c r="I54" s="33">
        <f>IF(SmtRes!AA18=0,"",ROUND(SmtRes!AA18,2))</f>
      </c>
      <c r="J54" s="33">
        <f>IF(SmtRes!AB18=0,"",ROUND(SmtRes!AB18,2))</f>
      </c>
      <c r="K54" s="33"/>
      <c r="L54" s="33"/>
      <c r="M54" s="33">
        <f>IF(SmtRes!AA18=0,"",ROUND(SmtRes!AA18*E54,2))</f>
      </c>
      <c r="N54" s="33">
        <f>IF(SmtRes!AB18=0,"",ROUND(SmtRes!AB18*E54,2))</f>
      </c>
    </row>
    <row r="55" spans="1:14" ht="63.75">
      <c r="A55" s="25">
        <v>4</v>
      </c>
      <c r="B55" s="26" t="str">
        <f>Source!BJ28</f>
        <v>ТЕР Ульяновской обл.сб.12,гл.01,табл.007,поз.3</v>
      </c>
      <c r="C55" s="26" t="str">
        <f>Source!G28</f>
        <v>Устройство кровель из волнистых асбестоцементных листов унифицированного профиля по готовым прогонам</v>
      </c>
      <c r="D55" s="26" t="str">
        <f>Source!H28</f>
        <v>100 м2</v>
      </c>
      <c r="E55" s="27">
        <f>Source!I28</f>
        <v>19.5</v>
      </c>
      <c r="F55" s="27"/>
      <c r="G55" s="28">
        <f>IF(Source!AH28=0,"",ROUND(Source!AH28,2))</f>
        <v>47.23</v>
      </c>
      <c r="H55" s="28">
        <f>IF(Source!AI28=0,"",ROUND(Source!AI28,2))</f>
        <v>1.19</v>
      </c>
      <c r="I55" s="28">
        <f>IF(Source!AC28=0,"",ROUND(Source!AC28,2))</f>
        <v>3504.29</v>
      </c>
      <c r="J55" s="28">
        <f>IF(Source!AD28=0,"",ROUND(Source!AD28,2))</f>
        <v>119.61</v>
      </c>
      <c r="K55" s="28">
        <f>IF(Source!U28=0,"",ROUND(Source!U28,2))</f>
        <v>920.99</v>
      </c>
      <c r="L55" s="28">
        <f>IF(Source!V28=0,"",ROUND(Source!V28,2))</f>
        <v>23.21</v>
      </c>
      <c r="M55" s="28">
        <f>IF(Source!P28=0,"",ROUND(Source!P28,2))</f>
        <v>68333.66</v>
      </c>
      <c r="N55" s="28">
        <f>IF(Source!Q28=0,"",ROUND(Source!Q28,2))</f>
        <v>2332.4</v>
      </c>
    </row>
    <row r="56" spans="1:14" s="20" customFormat="1" ht="36">
      <c r="A56" s="29"/>
      <c r="B56" s="30" t="str">
        <f>SmtRes!I19</f>
        <v>1-3.1-73</v>
      </c>
      <c r="C56" s="30" t="str">
        <f>SmtRes!K19</f>
        <v>Затраты труда рабочих-строителей (средний разряд 3.1)</v>
      </c>
      <c r="D56" s="30" t="str">
        <f>SmtRes!O19</f>
        <v>чел.ч</v>
      </c>
      <c r="E56" s="29">
        <f>SmtRes!Y19*Source!I28</f>
        <v>920.9849999999999</v>
      </c>
      <c r="F56" s="29">
        <f>SmtRes!Y19</f>
        <v>47.23</v>
      </c>
      <c r="G56" s="29"/>
      <c r="H56" s="29"/>
      <c r="I56" s="29">
        <f>IF(SmtRes!AA19=0,"",ROUND(SmtRes!AA19,2))</f>
      </c>
      <c r="J56" s="29">
        <f>IF(SmtRes!AB19=0,"",ROUND(SmtRes!AB19,2))</f>
      </c>
      <c r="K56" s="29"/>
      <c r="L56" s="29"/>
      <c r="M56" s="29">
        <f>IF(SmtRes!AA19=0,"",ROUND(SmtRes!AA19*E56,2))</f>
      </c>
      <c r="N56" s="29">
        <f>IF(SmtRes!AB19=0,"",ROUND(SmtRes!AB19*E56,2))</f>
      </c>
    </row>
    <row r="57" spans="1:14" s="20" customFormat="1" ht="24">
      <c r="A57" s="29"/>
      <c r="B57" s="30" t="str">
        <f>SmtRes!I20</f>
        <v>2</v>
      </c>
      <c r="C57" s="30" t="str">
        <f>SmtRes!K20</f>
        <v>Затраты труда машинистов</v>
      </c>
      <c r="D57" s="30" t="str">
        <f>SmtRes!O20</f>
        <v>чел.час</v>
      </c>
      <c r="E57" s="29">
        <f>SmtRes!Y20*Source!I28</f>
        <v>23.205</v>
      </c>
      <c r="F57" s="29">
        <f>SmtRes!Y20</f>
        <v>1.19</v>
      </c>
      <c r="G57" s="29"/>
      <c r="H57" s="29"/>
      <c r="I57" s="29">
        <f>IF(SmtRes!AA20=0,"",ROUND(SmtRes!AA20,2))</f>
      </c>
      <c r="J57" s="29">
        <f>IF(SmtRes!AB20=0,"",ROUND(SmtRes!AB20,2))</f>
      </c>
      <c r="K57" s="29"/>
      <c r="L57" s="29"/>
      <c r="M57" s="29">
        <f>IF(SmtRes!AA20=0,"",ROUND(SmtRes!AA20*E57,2))</f>
      </c>
      <c r="N57" s="29">
        <f>IF(SmtRes!AB20=0,"",ROUND(SmtRes!AB20*E57,2))</f>
      </c>
    </row>
    <row r="58" spans="1:14" ht="12.75">
      <c r="A58" s="52" t="s">
        <v>402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s="21" customFormat="1" ht="72">
      <c r="A59" s="31"/>
      <c r="B59" s="32" t="str">
        <f>SmtRes!I21</f>
        <v>020129</v>
      </c>
      <c r="C59" s="32" t="str">
        <f>SmtRes!K21</f>
        <v>Краны башенные при работе на других видах строительства (кроме монтажа технологического оборудования) 8 т</v>
      </c>
      <c r="D59" s="32" t="str">
        <f>SmtRes!O21</f>
        <v>маш.ч</v>
      </c>
      <c r="E59" s="31">
        <f>SmtRes!Y21*Source!I28</f>
        <v>9.75</v>
      </c>
      <c r="F59" s="31">
        <f>SmtRes!Y21</f>
        <v>0.5</v>
      </c>
      <c r="G59" s="31"/>
      <c r="H59" s="31"/>
      <c r="I59" s="31">
        <f>IF(SmtRes!AA21=0,"",ROUND(SmtRes!AA21,2))</f>
      </c>
      <c r="J59" s="31">
        <f>IF(SmtRes!AB21=0,"",ROUND(SmtRes!AB21,2))</f>
        <v>118.84</v>
      </c>
      <c r="K59" s="31"/>
      <c r="L59" s="31"/>
      <c r="M59" s="31">
        <f>IF(SmtRes!AA21=0,"",ROUND(SmtRes!AA21*E59,2))</f>
      </c>
      <c r="N59" s="31">
        <f>IF(SmtRes!AB21=0,"",ROUND(SmtRes!AB21*E59,2))</f>
        <v>1158.69</v>
      </c>
    </row>
    <row r="60" spans="1:14" s="21" customFormat="1" ht="60">
      <c r="A60" s="31"/>
      <c r="B60" s="32" t="str">
        <f>SmtRes!I22</f>
        <v>021141</v>
      </c>
      <c r="C60" s="32" t="str">
        <f>SmtRes!K22</f>
        <v>Краны на автомобильном ходу при работе на других видах строительства (кроме магистральных трубопроводов) 10 т</v>
      </c>
      <c r="D60" s="32" t="str">
        <f>SmtRes!O22</f>
        <v>маш.-ч</v>
      </c>
      <c r="E60" s="31">
        <f>SmtRes!Y22*Source!I28</f>
        <v>5.654999999999999</v>
      </c>
      <c r="F60" s="31">
        <f>SmtRes!Y22</f>
        <v>0.29</v>
      </c>
      <c r="G60" s="31"/>
      <c r="H60" s="31"/>
      <c r="I60" s="31">
        <f>IF(SmtRes!AA22=0,"",ROUND(SmtRes!AA22,2))</f>
      </c>
      <c r="J60" s="31">
        <f>IF(SmtRes!AB22=0,"",ROUND(SmtRes!AB22,2))</f>
        <v>123.73</v>
      </c>
      <c r="K60" s="31"/>
      <c r="L60" s="31"/>
      <c r="M60" s="31">
        <f>IF(SmtRes!AA22=0,"",ROUND(SmtRes!AA22*E60,2))</f>
      </c>
      <c r="N60" s="31">
        <f>IF(SmtRes!AB22=0,"",ROUND(SmtRes!AB22*E60,2))</f>
        <v>699.69</v>
      </c>
    </row>
    <row r="61" spans="1:14" s="21" customFormat="1" ht="24">
      <c r="A61" s="31"/>
      <c r="B61" s="32" t="str">
        <f>SmtRes!I23</f>
        <v>400001</v>
      </c>
      <c r="C61" s="32" t="str">
        <f>SmtRes!K23</f>
        <v>Автомобили бортовые грузоподъемностью до 5 т</v>
      </c>
      <c r="D61" s="32" t="str">
        <f>SmtRes!O23</f>
        <v>маш.-ч</v>
      </c>
      <c r="E61" s="31">
        <f>SmtRes!Y23*Source!I28</f>
        <v>7.800000000000001</v>
      </c>
      <c r="F61" s="31">
        <f>SmtRes!Y23</f>
        <v>0.4</v>
      </c>
      <c r="G61" s="31"/>
      <c r="H61" s="31"/>
      <c r="I61" s="31">
        <f>IF(SmtRes!AA23=0,"",ROUND(SmtRes!AA23,2))</f>
      </c>
      <c r="J61" s="31">
        <f>IF(SmtRes!AB23=0,"",ROUND(SmtRes!AB23,2))</f>
        <v>60.77</v>
      </c>
      <c r="K61" s="31"/>
      <c r="L61" s="31"/>
      <c r="M61" s="31">
        <f>IF(SmtRes!AA23=0,"",ROUND(SmtRes!AA23*E61,2))</f>
      </c>
      <c r="N61" s="31">
        <f>IF(SmtRes!AB23=0,"",ROUND(SmtRes!AB23*E61,2))</f>
        <v>474.01</v>
      </c>
    </row>
    <row r="62" spans="1:14" ht="12.75">
      <c r="A62" s="52" t="s">
        <v>403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s="22" customFormat="1" ht="60">
      <c r="A63" s="35"/>
      <c r="B63" s="36" t="str">
        <f>SmtRes!I24</f>
        <v>101-0036</v>
      </c>
      <c r="C63" s="36" t="str">
        <f>SmtRes!K24</f>
        <v>Листы асбестоцементные волнистые  унифицированного профиля 54/200 толщиной 7.5 мм</v>
      </c>
      <c r="D63" s="36" t="str">
        <f>SmtRes!O24</f>
        <v>м2</v>
      </c>
      <c r="E63" s="35">
        <f>SmtRes!Y24*Source!I28</f>
        <v>2535</v>
      </c>
      <c r="F63" s="35">
        <f>SmtRes!Y24</f>
        <v>130</v>
      </c>
      <c r="G63" s="35"/>
      <c r="H63" s="35"/>
      <c r="I63" s="35">
        <f>IF(SmtRes!AA24=0,"",ROUND(SmtRes!AA24,2))</f>
        <v>21.57</v>
      </c>
      <c r="J63" s="35">
        <f>IF(SmtRes!AB24=0,"",ROUND(SmtRes!AB24,2))</f>
      </c>
      <c r="K63" s="35"/>
      <c r="L63" s="35"/>
      <c r="M63" s="35">
        <f>IF(SmtRes!AA24=0,"",ROUND(SmtRes!AA24*E63,2))</f>
        <v>54679.95</v>
      </c>
      <c r="N63" s="35">
        <f>IF(SmtRes!AB24=0,"",ROUND(SmtRes!AB24*E63,2))</f>
      </c>
    </row>
    <row r="64" spans="1:14" s="22" customFormat="1" ht="24">
      <c r="A64" s="35"/>
      <c r="B64" s="36" t="str">
        <f>SmtRes!I25</f>
        <v>101-0096</v>
      </c>
      <c r="C64" s="36" t="str">
        <f>SmtRes!K25</f>
        <v>Болты оцинкованные  диаметром резьбы 8 мм</v>
      </c>
      <c r="D64" s="36" t="str">
        <f>SmtRes!O25</f>
        <v>т</v>
      </c>
      <c r="E64" s="35">
        <f>SmtRes!Y25*Source!I28</f>
        <v>0.078</v>
      </c>
      <c r="F64" s="35">
        <f>SmtRes!Y25</f>
        <v>0.004</v>
      </c>
      <c r="G64" s="35"/>
      <c r="H64" s="35"/>
      <c r="I64" s="35">
        <f>IF(SmtRes!AA25=0,"",ROUND(SmtRes!AA25,2))</f>
        <v>15151.43</v>
      </c>
      <c r="J64" s="35">
        <f>IF(SmtRes!AB25=0,"",ROUND(SmtRes!AB25,2))</f>
      </c>
      <c r="K64" s="35"/>
      <c r="L64" s="35"/>
      <c r="M64" s="35">
        <f>IF(SmtRes!AA25=0,"",ROUND(SmtRes!AA25*E64,2))</f>
        <v>1181.81</v>
      </c>
      <c r="N64" s="35">
        <f>IF(SmtRes!AB25=0,"",ROUND(SmtRes!AB25*E64,2))</f>
      </c>
    </row>
    <row r="65" spans="1:14" s="22" customFormat="1" ht="24">
      <c r="A65" s="35"/>
      <c r="B65" s="36" t="str">
        <f>SmtRes!I26</f>
        <v>101-0788</v>
      </c>
      <c r="C65" s="36" t="str">
        <f>SmtRes!K26</f>
        <v>Поковки оцинкованные  массой 2.825 кг</v>
      </c>
      <c r="D65" s="36" t="str">
        <f>SmtRes!O26</f>
        <v>т</v>
      </c>
      <c r="E65" s="35">
        <f>SmtRes!Y26*Source!I28</f>
        <v>0.5265</v>
      </c>
      <c r="F65" s="35">
        <f>SmtRes!Y26</f>
        <v>0.027</v>
      </c>
      <c r="G65" s="35"/>
      <c r="H65" s="35"/>
      <c r="I65" s="35">
        <f>IF(SmtRes!AA26=0,"",ROUND(SmtRes!AA26,2))</f>
        <v>9571.02</v>
      </c>
      <c r="J65" s="35">
        <f>IF(SmtRes!AB26=0,"",ROUND(SmtRes!AB26,2))</f>
      </c>
      <c r="K65" s="35"/>
      <c r="L65" s="35"/>
      <c r="M65" s="35">
        <f>IF(SmtRes!AA26=0,"",ROUND(SmtRes!AA26*E65,2))</f>
        <v>5039.14</v>
      </c>
      <c r="N65" s="35">
        <f>IF(SmtRes!AB26=0,"",ROUND(SmtRes!AB26*E65,2))</f>
      </c>
    </row>
    <row r="66" spans="1:14" s="22" customFormat="1" ht="48">
      <c r="A66" s="35"/>
      <c r="B66" s="36" t="str">
        <f>SmtRes!I27</f>
        <v>101-0856</v>
      </c>
      <c r="C66" s="36" t="str">
        <f>SmtRes!K27</f>
        <v>Рубероид кровельный с крупнозернистой посыпкой  с пылевидной посыпкой РКП-350б</v>
      </c>
      <c r="D66" s="36" t="str">
        <f>SmtRes!O27</f>
        <v>м2</v>
      </c>
      <c r="E66" s="35">
        <f>SmtRes!Y27*Source!I28</f>
        <v>30.810000000000002</v>
      </c>
      <c r="F66" s="35">
        <f>SmtRes!Y27</f>
        <v>1.58</v>
      </c>
      <c r="G66" s="35"/>
      <c r="H66" s="35"/>
      <c r="I66" s="35">
        <f>IF(SmtRes!AA27=0,"",ROUND(SmtRes!AA27,2))</f>
        <v>4.75</v>
      </c>
      <c r="J66" s="35">
        <f>IF(SmtRes!AB27=0,"",ROUND(SmtRes!AB27,2))</f>
      </c>
      <c r="K66" s="35"/>
      <c r="L66" s="35"/>
      <c r="M66" s="35">
        <f>IF(SmtRes!AA27=0,"",ROUND(SmtRes!AA27*E66,2))</f>
        <v>146.35</v>
      </c>
      <c r="N66" s="35">
        <f>IF(SmtRes!AB27=0,"",ROUND(SmtRes!AB27*E66,2))</f>
      </c>
    </row>
    <row r="67" spans="1:14" s="22" customFormat="1" ht="12">
      <c r="A67" s="35"/>
      <c r="B67" s="36" t="str">
        <f>SmtRes!I28</f>
        <v>101-1805</v>
      </c>
      <c r="C67" s="36" t="str">
        <f>SmtRes!K28</f>
        <v>Гвозди строительные</v>
      </c>
      <c r="D67" s="36" t="str">
        <f>SmtRes!O28</f>
        <v>т</v>
      </c>
      <c r="E67" s="35">
        <f>SmtRes!Y28*Source!I28</f>
        <v>0.00273</v>
      </c>
      <c r="F67" s="35">
        <f>SmtRes!Y28</f>
        <v>0.00014</v>
      </c>
      <c r="G67" s="35"/>
      <c r="H67" s="35"/>
      <c r="I67" s="35">
        <f>IF(SmtRes!AA28=0,"",ROUND(SmtRes!AA28,2))</f>
        <v>7696.95</v>
      </c>
      <c r="J67" s="35">
        <f>IF(SmtRes!AB28=0,"",ROUND(SmtRes!AB28,2))</f>
      </c>
      <c r="K67" s="35"/>
      <c r="L67" s="35"/>
      <c r="M67" s="35">
        <f>IF(SmtRes!AA28=0,"",ROUND(SmtRes!AA28*E67,2))</f>
        <v>21.01</v>
      </c>
      <c r="N67" s="35">
        <f>IF(SmtRes!AB28=0,"",ROUND(SmtRes!AB28*E67,2))</f>
      </c>
    </row>
    <row r="68" spans="1:14" s="22" customFormat="1" ht="36">
      <c r="A68" s="35"/>
      <c r="B68" s="36" t="str">
        <f>SmtRes!I29</f>
        <v>101-1875</v>
      </c>
      <c r="C68" s="36" t="str">
        <f>SmtRes!K29</f>
        <v>Сталь оцинкованная листовая  толщина листа 0.7 мм</v>
      </c>
      <c r="D68" s="36" t="str">
        <f>SmtRes!O29</f>
        <v>т</v>
      </c>
      <c r="E68" s="35">
        <f>SmtRes!Y29*Source!I28</f>
        <v>0.39</v>
      </c>
      <c r="F68" s="35">
        <f>SmtRes!Y29</f>
        <v>0.02</v>
      </c>
      <c r="G68" s="35"/>
      <c r="H68" s="35"/>
      <c r="I68" s="35">
        <f>IF(SmtRes!AA29=0,"",ROUND(SmtRes!AA29,2))</f>
        <v>12215.47</v>
      </c>
      <c r="J68" s="35">
        <f>IF(SmtRes!AB29=0,"",ROUND(SmtRes!AB29,2))</f>
      </c>
      <c r="K68" s="35"/>
      <c r="L68" s="35"/>
      <c r="M68" s="35">
        <f>IF(SmtRes!AA29=0,"",ROUND(SmtRes!AA29*E68,2))</f>
        <v>4764.03</v>
      </c>
      <c r="N68" s="35">
        <f>IF(SmtRes!AB29=0,"",ROUND(SmtRes!AB29*E68,2))</f>
      </c>
    </row>
    <row r="69" spans="1:14" s="22" customFormat="1" ht="24">
      <c r="A69" s="35"/>
      <c r="B69" s="36" t="str">
        <f>SmtRes!I30</f>
        <v>101-1976</v>
      </c>
      <c r="C69" s="36" t="str">
        <f>SmtRes!K30</f>
        <v>Примеси волокнистых веществ</v>
      </c>
      <c r="D69" s="36" t="str">
        <f>SmtRes!O30</f>
        <v>кг</v>
      </c>
      <c r="E69" s="35">
        <f>SmtRes!Y30*Source!I28</f>
        <v>1.9500000000000002</v>
      </c>
      <c r="F69" s="35">
        <f>SmtRes!Y30</f>
        <v>0.1</v>
      </c>
      <c r="G69" s="35"/>
      <c r="H69" s="35"/>
      <c r="I69" s="35">
        <f>IF(SmtRes!AA30=0,"",ROUND(SmtRes!AA30,2))</f>
        <v>51.2</v>
      </c>
      <c r="J69" s="35">
        <f>IF(SmtRes!AB30=0,"",ROUND(SmtRes!AB30,2))</f>
      </c>
      <c r="K69" s="35"/>
      <c r="L69" s="35"/>
      <c r="M69" s="35">
        <f>IF(SmtRes!AA30=0,"",ROUND(SmtRes!AA30*E69,2))</f>
        <v>99.84</v>
      </c>
      <c r="N69" s="35">
        <f>IF(SmtRes!AB30=0,"",ROUND(SmtRes!AB30*E69,2))</f>
      </c>
    </row>
    <row r="70" spans="1:14" s="22" customFormat="1" ht="12">
      <c r="A70" s="35"/>
      <c r="B70" s="36" t="str">
        <f>SmtRes!I31</f>
        <v>101-9923</v>
      </c>
      <c r="C70" s="36" t="str">
        <f>SmtRes!K31</f>
        <v>Шаблоны коньковые</v>
      </c>
      <c r="D70" s="36" t="str">
        <f>SmtRes!O31</f>
        <v>ШТ</v>
      </c>
      <c r="E70" s="35">
        <f>SmtRes!Y31*Source!I28</f>
        <v>390</v>
      </c>
      <c r="F70" s="35">
        <f>SmtRes!Y31</f>
        <v>20</v>
      </c>
      <c r="G70" s="35"/>
      <c r="H70" s="35"/>
      <c r="I70" s="35">
        <f>IF(SmtRes!AA31=0,"",ROUND(SmtRes!AA31,2))</f>
        <v>5.89</v>
      </c>
      <c r="J70" s="35">
        <f>IF(SmtRes!AB31=0,"",ROUND(SmtRes!AB31,2))</f>
      </c>
      <c r="K70" s="35"/>
      <c r="L70" s="35"/>
      <c r="M70" s="35">
        <f>IF(SmtRes!AA31=0,"",ROUND(SmtRes!AA31*E70,2))</f>
        <v>2297.1</v>
      </c>
      <c r="N70" s="35">
        <f>IF(SmtRes!AB31=0,"",ROUND(SmtRes!AB31*E70,2))</f>
      </c>
    </row>
    <row r="71" spans="1:14" s="22" customFormat="1" ht="36">
      <c r="A71" s="33"/>
      <c r="B71" s="34" t="str">
        <f>SmtRes!I32</f>
        <v>402-9071</v>
      </c>
      <c r="C71" s="34" t="str">
        <f>SmtRes!K32</f>
        <v>Раствор готовый кладочный тяжелый цементный</v>
      </c>
      <c r="D71" s="34" t="str">
        <f>SmtRes!O32</f>
        <v>м3</v>
      </c>
      <c r="E71" s="33">
        <f>SmtRes!Y32*Source!I28</f>
        <v>0.39</v>
      </c>
      <c r="F71" s="33">
        <f>SmtRes!Y32</f>
        <v>0.02</v>
      </c>
      <c r="G71" s="33"/>
      <c r="H71" s="33"/>
      <c r="I71" s="33">
        <f>IF(SmtRes!AA32=0,"",ROUND(SmtRes!AA32,2))</f>
        <v>424.88</v>
      </c>
      <c r="J71" s="33">
        <f>IF(SmtRes!AB32=0,"",ROUND(SmtRes!AB32,2))</f>
      </c>
      <c r="K71" s="33"/>
      <c r="L71" s="33"/>
      <c r="M71" s="33">
        <f>IF(SmtRes!AA32=0,"",ROUND(SmtRes!AA32*E71,2))</f>
        <v>165.7</v>
      </c>
      <c r="N71" s="33">
        <f>IF(SmtRes!AB32=0,"",ROUND(SmtRes!AB32*E71,2))</f>
      </c>
    </row>
    <row r="72" spans="1:14" ht="63.75">
      <c r="A72" s="25">
        <v>5</v>
      </c>
      <c r="B72" s="26" t="str">
        <f>Source!BJ29</f>
        <v>ТЕРр Ульяновской обл.,сб.58,поз.7-1</v>
      </c>
      <c r="C72" s="26" t="str">
        <f>Source!G29</f>
        <v>Ремонт отдельными местами рулонного покрытия с промазкой битумными составами с заменой 1 слоя</v>
      </c>
      <c r="D72" s="26" t="str">
        <f>Source!H29</f>
        <v>100 м2</v>
      </c>
      <c r="E72" s="27">
        <f>Source!I29</f>
        <v>2.67</v>
      </c>
      <c r="F72" s="27"/>
      <c r="G72" s="28">
        <f>IF(Source!AH29=0,"",ROUND(Source!AH29,2))</f>
        <v>22.35</v>
      </c>
      <c r="H72" s="28">
        <f>IF(Source!AI29=0,"",ROUND(Source!AI29,2))</f>
        <v>0.25</v>
      </c>
      <c r="I72" s="28">
        <f>IF(Source!AC29=0,"",ROUND(Source!AC29,2))</f>
        <v>2298.77</v>
      </c>
      <c r="J72" s="28">
        <f>IF(Source!AD29=0,"",ROUND(Source!AD29,2))</f>
        <v>21.61</v>
      </c>
      <c r="K72" s="28">
        <f>IF(Source!U29=0,"",ROUND(Source!U29,2))</f>
        <v>59.67</v>
      </c>
      <c r="L72" s="28">
        <f>IF(Source!V29=0,"",ROUND(Source!V29,2))</f>
        <v>0.67</v>
      </c>
      <c r="M72" s="28">
        <f>IF(Source!P29=0,"",ROUND(Source!P29,2))</f>
        <v>6137.72</v>
      </c>
      <c r="N72" s="28">
        <f>IF(Source!Q29=0,"",ROUND(Source!Q29,2))</f>
        <v>57.7</v>
      </c>
    </row>
    <row r="73" spans="1:14" s="20" customFormat="1" ht="36">
      <c r="A73" s="29"/>
      <c r="B73" s="30" t="str">
        <f>SmtRes!I33</f>
        <v>1-3.2-73</v>
      </c>
      <c r="C73" s="30" t="str">
        <f>SmtRes!K33</f>
        <v>Затраты труда рабочих-строителей (средний разряд 3.2)</v>
      </c>
      <c r="D73" s="30" t="str">
        <f>SmtRes!O33</f>
        <v>чел.ч</v>
      </c>
      <c r="E73" s="29">
        <f>SmtRes!Y33*Source!I29</f>
        <v>59.6745</v>
      </c>
      <c r="F73" s="29">
        <f>SmtRes!Y33</f>
        <v>22.35</v>
      </c>
      <c r="G73" s="29"/>
      <c r="H73" s="29"/>
      <c r="I73" s="29">
        <f>IF(SmtRes!AA33=0,"",ROUND(SmtRes!AA33,2))</f>
      </c>
      <c r="J73" s="29">
        <f>IF(SmtRes!AB33=0,"",ROUND(SmtRes!AB33,2))</f>
      </c>
      <c r="K73" s="29"/>
      <c r="L73" s="29"/>
      <c r="M73" s="29">
        <f>IF(SmtRes!AA33=0,"",ROUND(SmtRes!AA33*E73,2))</f>
      </c>
      <c r="N73" s="29">
        <f>IF(SmtRes!AB33=0,"",ROUND(SmtRes!AB33*E73,2))</f>
      </c>
    </row>
    <row r="74" spans="1:14" s="20" customFormat="1" ht="24">
      <c r="A74" s="29"/>
      <c r="B74" s="30" t="str">
        <f>SmtRes!I34</f>
        <v>2</v>
      </c>
      <c r="C74" s="30" t="str">
        <f>SmtRes!K34</f>
        <v>Затраты труда машинистов</v>
      </c>
      <c r="D74" s="30" t="str">
        <f>SmtRes!O34</f>
        <v>чел.час</v>
      </c>
      <c r="E74" s="29">
        <f>SmtRes!Y34*Source!I29</f>
        <v>0.6675</v>
      </c>
      <c r="F74" s="29">
        <f>SmtRes!Y34</f>
        <v>0.25</v>
      </c>
      <c r="G74" s="29"/>
      <c r="H74" s="29"/>
      <c r="I74" s="29">
        <f>IF(SmtRes!AA34=0,"",ROUND(SmtRes!AA34,2))</f>
      </c>
      <c r="J74" s="29">
        <f>IF(SmtRes!AB34=0,"",ROUND(SmtRes!AB34,2))</f>
      </c>
      <c r="K74" s="29"/>
      <c r="L74" s="29"/>
      <c r="M74" s="29">
        <f>IF(SmtRes!AA34=0,"",ROUND(SmtRes!AA34*E74,2))</f>
      </c>
      <c r="N74" s="29">
        <f>IF(SmtRes!AB34=0,"",ROUND(SmtRes!AB34*E74,2))</f>
      </c>
    </row>
    <row r="75" spans="1:14" ht="12.75">
      <c r="A75" s="52" t="s">
        <v>402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s="21" customFormat="1" ht="24">
      <c r="A76" s="31"/>
      <c r="B76" s="32" t="str">
        <f>SmtRes!I35</f>
        <v>031121</v>
      </c>
      <c r="C76" s="32" t="str">
        <f>SmtRes!K35</f>
        <v>Подъемники мачтовые строительные 0.5 т</v>
      </c>
      <c r="D76" s="32" t="str">
        <f>SmtRes!O35</f>
        <v>маш.-ч</v>
      </c>
      <c r="E76" s="31">
        <f>SmtRes!Y35*Source!I29</f>
        <v>0.40049999999999997</v>
      </c>
      <c r="F76" s="31">
        <f>SmtRes!Y35</f>
        <v>0.15</v>
      </c>
      <c r="G76" s="31"/>
      <c r="H76" s="31"/>
      <c r="I76" s="31">
        <f>IF(SmtRes!AA35=0,"",ROUND(SmtRes!AA35,2))</f>
      </c>
      <c r="J76" s="31">
        <f>IF(SmtRes!AB35=0,"",ROUND(SmtRes!AB35,2))</f>
        <v>13.25</v>
      </c>
      <c r="K76" s="31"/>
      <c r="L76" s="31"/>
      <c r="M76" s="31">
        <f>IF(SmtRes!AA35=0,"",ROUND(SmtRes!AA35*E76,2))</f>
      </c>
      <c r="N76" s="31">
        <f>IF(SmtRes!AB35=0,"",ROUND(SmtRes!AB35*E76,2))</f>
        <v>5.31</v>
      </c>
    </row>
    <row r="77" spans="1:14" s="21" customFormat="1" ht="24">
      <c r="A77" s="31"/>
      <c r="B77" s="32" t="str">
        <f>SmtRes!I36</f>
        <v>121011</v>
      </c>
      <c r="C77" s="32" t="str">
        <f>SmtRes!K36</f>
        <v>Котлы битумные передвижные 400 л</v>
      </c>
      <c r="D77" s="32" t="str">
        <f>SmtRes!O36</f>
        <v>маш.ч</v>
      </c>
      <c r="E77" s="31">
        <f>SmtRes!Y36*Source!I29</f>
        <v>2.0025</v>
      </c>
      <c r="F77" s="31">
        <f>SmtRes!Y36</f>
        <v>0.75</v>
      </c>
      <c r="G77" s="31"/>
      <c r="H77" s="31"/>
      <c r="I77" s="31">
        <f>IF(SmtRes!AA36=0,"",ROUND(SmtRes!AA36,2))</f>
      </c>
      <c r="J77" s="31">
        <f>IF(SmtRes!AB36=0,"",ROUND(SmtRes!AB36,2))</f>
        <v>18.05</v>
      </c>
      <c r="K77" s="31"/>
      <c r="L77" s="31"/>
      <c r="M77" s="31">
        <f>IF(SmtRes!AA36=0,"",ROUND(SmtRes!AA36*E77,2))</f>
      </c>
      <c r="N77" s="31">
        <f>IF(SmtRes!AB36=0,"",ROUND(SmtRes!AB36*E77,2))</f>
        <v>36.15</v>
      </c>
    </row>
    <row r="78" spans="1:14" s="21" customFormat="1" ht="24">
      <c r="A78" s="31"/>
      <c r="B78" s="32" t="str">
        <f>SmtRes!I37</f>
        <v>400001</v>
      </c>
      <c r="C78" s="32" t="str">
        <f>SmtRes!K37</f>
        <v>Автомобили бортовые грузоподъемностью до 5 т</v>
      </c>
      <c r="D78" s="32" t="str">
        <f>SmtRes!O37</f>
        <v>маш.-ч</v>
      </c>
      <c r="E78" s="31">
        <f>SmtRes!Y37*Source!I29</f>
        <v>0.267</v>
      </c>
      <c r="F78" s="31">
        <f>SmtRes!Y37</f>
        <v>0.1</v>
      </c>
      <c r="G78" s="31"/>
      <c r="H78" s="31"/>
      <c r="I78" s="31">
        <f>IF(SmtRes!AA37=0,"",ROUND(SmtRes!AA37,2))</f>
      </c>
      <c r="J78" s="31">
        <f>IF(SmtRes!AB37=0,"",ROUND(SmtRes!AB37,2))</f>
        <v>60.77</v>
      </c>
      <c r="K78" s="31"/>
      <c r="L78" s="31"/>
      <c r="M78" s="31">
        <f>IF(SmtRes!AA37=0,"",ROUND(SmtRes!AA37*E78,2))</f>
      </c>
      <c r="N78" s="31">
        <f>IF(SmtRes!AB37=0,"",ROUND(SmtRes!AB37*E78,2))</f>
        <v>16.23</v>
      </c>
    </row>
    <row r="79" spans="1:14" ht="12.75">
      <c r="A79" s="52" t="s">
        <v>403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s="22" customFormat="1" ht="24">
      <c r="A80" s="35"/>
      <c r="B80" s="36" t="str">
        <f>SmtRes!I38</f>
        <v>101-0594</v>
      </c>
      <c r="C80" s="36" t="str">
        <f>SmtRes!K38</f>
        <v>Мастика битумная кровельная горячая</v>
      </c>
      <c r="D80" s="36" t="str">
        <f>SmtRes!O38</f>
        <v>т</v>
      </c>
      <c r="E80" s="35">
        <f>SmtRes!Y38*Source!I29</f>
        <v>0.8811</v>
      </c>
      <c r="F80" s="35">
        <f>SmtRes!Y38</f>
        <v>0.33</v>
      </c>
      <c r="G80" s="35"/>
      <c r="H80" s="35"/>
      <c r="I80" s="35">
        <f>IF(SmtRes!AA38=0,"",ROUND(SmtRes!AA38,2))</f>
        <v>6965.98</v>
      </c>
      <c r="J80" s="35">
        <f>IF(SmtRes!AB38=0,"",ROUND(SmtRes!AB38,2))</f>
      </c>
      <c r="K80" s="35"/>
      <c r="L80" s="35"/>
      <c r="M80" s="35">
        <f>IF(SmtRes!AA38=0,"",ROUND(SmtRes!AA38*E80,2))</f>
        <v>6137.72</v>
      </c>
      <c r="N80" s="35">
        <f>IF(SmtRes!AB38=0,"",ROUND(SmtRes!AB38*E80,2))</f>
      </c>
    </row>
    <row r="81" spans="1:14" s="22" customFormat="1" ht="24">
      <c r="A81" s="35"/>
      <c r="B81" s="36" t="str">
        <f>SmtRes!I39</f>
        <v>101-9123</v>
      </c>
      <c r="C81" s="36" t="str">
        <f>SmtRes!K39</f>
        <v>Материалы рулонные кровельные</v>
      </c>
      <c r="D81" s="36" t="str">
        <f>SmtRes!O39</f>
        <v>м2</v>
      </c>
      <c r="E81" s="35">
        <f>SmtRes!Y39*Source!I29</f>
        <v>307.05</v>
      </c>
      <c r="F81" s="35">
        <f>SmtRes!Y39</f>
        <v>115</v>
      </c>
      <c r="G81" s="35"/>
      <c r="H81" s="35"/>
      <c r="I81" s="35">
        <f>IF(SmtRes!AA39=0,"",ROUND(SmtRes!AA39,2))</f>
        <v>7.46</v>
      </c>
      <c r="J81" s="35">
        <f>IF(SmtRes!AB39=0,"",ROUND(SmtRes!AB39,2))</f>
      </c>
      <c r="K81" s="35"/>
      <c r="L81" s="35"/>
      <c r="M81" s="35">
        <f>IF(SmtRes!AA39=0,"",ROUND(SmtRes!AA39*E81,2))</f>
        <v>2290.59</v>
      </c>
      <c r="N81" s="35">
        <f>IF(SmtRes!AB39=0,"",ROUND(SmtRes!AB39*E81,2))</f>
      </c>
    </row>
    <row r="82" spans="1:14" s="22" customFormat="1" ht="12">
      <c r="A82" s="33"/>
      <c r="B82" s="34" t="str">
        <f>SmtRes!I40</f>
        <v>999-9900</v>
      </c>
      <c r="C82" s="34" t="str">
        <f>SmtRes!K40</f>
        <v>Строительный мусор</v>
      </c>
      <c r="D82" s="34" t="str">
        <f>SmtRes!O40</f>
        <v>т</v>
      </c>
      <c r="E82" s="33">
        <f>SmtRes!Y40*Source!I29</f>
        <v>0.9078</v>
      </c>
      <c r="F82" s="33">
        <f>SmtRes!Y40</f>
        <v>0.34</v>
      </c>
      <c r="G82" s="33"/>
      <c r="H82" s="33"/>
      <c r="I82" s="33">
        <f>IF(SmtRes!AA40=0,"",ROUND(SmtRes!AA40,2))</f>
      </c>
      <c r="J82" s="33">
        <f>IF(SmtRes!AB40=0,"",ROUND(SmtRes!AB40,2))</f>
      </c>
      <c r="K82" s="33"/>
      <c r="L82" s="33"/>
      <c r="M82" s="33">
        <f>IF(SmtRes!AA40=0,"",ROUND(SmtRes!AA40*E82,2))</f>
      </c>
      <c r="N82" s="33">
        <f>IF(SmtRes!AB40=0,"",ROUND(SmtRes!AB40*E82,2))</f>
      </c>
    </row>
    <row r="83" spans="1:14" ht="51">
      <c r="A83" s="25">
        <v>6</v>
      </c>
      <c r="B83" s="26" t="str">
        <f>Source!BJ31</f>
        <v>ТЕРр Ульяновской обл.,сб.58,поз.2-2</v>
      </c>
      <c r="C83" s="26" t="str">
        <f>Source!G31</f>
        <v>Разборка слуховых окон прямоугольных односкатных</v>
      </c>
      <c r="D83" s="26" t="str">
        <f>Source!H31</f>
        <v>100 шт.</v>
      </c>
      <c r="E83" s="27">
        <f>Source!I31</f>
        <v>0.03</v>
      </c>
      <c r="F83" s="27"/>
      <c r="G83" s="28">
        <f>IF(Source!AH31=0,"",ROUND(Source!AH31,2))</f>
        <v>309.3</v>
      </c>
      <c r="H83" s="28">
        <f>IF(Source!AI31=0,"",ROUND(Source!AI31,2))</f>
      </c>
      <c r="I83" s="28">
        <f>IF(Source!AC31=0,"",ROUND(Source!AC31,2))</f>
      </c>
      <c r="J83" s="28">
        <f>IF(Source!AD31=0,"",ROUND(Source!AD31,2))</f>
        <v>16.9</v>
      </c>
      <c r="K83" s="28">
        <f>IF(Source!U31=0,"",ROUND(Source!U31,2))</f>
        <v>9.28</v>
      </c>
      <c r="L83" s="28">
        <f>IF(Source!V31=0,"",ROUND(Source!V31,2))</f>
      </c>
      <c r="M83" s="28">
        <f>IF(Source!P31=0,"",ROUND(Source!P31,2))</f>
      </c>
      <c r="N83" s="28">
        <f>IF(Source!Q31=0,"",ROUND(Source!Q31,2))</f>
        <v>0.51</v>
      </c>
    </row>
    <row r="84" spans="1:14" s="20" customFormat="1" ht="36">
      <c r="A84" s="29"/>
      <c r="B84" s="30" t="str">
        <f>SmtRes!I41</f>
        <v>1-2.2-73</v>
      </c>
      <c r="C84" s="30" t="str">
        <f>SmtRes!K41</f>
        <v>Затраты труда рабочих-строителей (средний разряд 2.2)</v>
      </c>
      <c r="D84" s="30" t="str">
        <f>SmtRes!O41</f>
        <v>чел.ч</v>
      </c>
      <c r="E84" s="29">
        <f>SmtRes!Y41*Source!I31</f>
        <v>9.279</v>
      </c>
      <c r="F84" s="29">
        <f>SmtRes!Y41</f>
        <v>309.3</v>
      </c>
      <c r="G84" s="29"/>
      <c r="H84" s="29"/>
      <c r="I84" s="29">
        <f>IF(SmtRes!AA41=0,"",ROUND(SmtRes!AA41,2))</f>
      </c>
      <c r="J84" s="29">
        <f>IF(SmtRes!AB41=0,"",ROUND(SmtRes!AB41,2))</f>
      </c>
      <c r="K84" s="29"/>
      <c r="L84" s="29"/>
      <c r="M84" s="29">
        <f>IF(SmtRes!AA41=0,"",ROUND(SmtRes!AA41*E84,2))</f>
      </c>
      <c r="N84" s="29">
        <f>IF(SmtRes!AB41=0,"",ROUND(SmtRes!AB41*E84,2))</f>
      </c>
    </row>
    <row r="85" spans="1:14" ht="12.75">
      <c r="A85" s="52" t="s">
        <v>402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s="21" customFormat="1" ht="36">
      <c r="A86" s="31"/>
      <c r="B86" s="32" t="str">
        <f>SmtRes!I42</f>
        <v>030401</v>
      </c>
      <c r="C86" s="32" t="str">
        <f>SmtRes!K42</f>
        <v>Лебедки электрические, тяговым усилием до 5,79 (0,59) кH (т)</v>
      </c>
      <c r="D86" s="32" t="str">
        <f>SmtRes!O42</f>
        <v>маш.-ч</v>
      </c>
      <c r="E86" s="31">
        <f>SmtRes!Y42*Source!I31</f>
        <v>0.183</v>
      </c>
      <c r="F86" s="31">
        <f>SmtRes!Y42</f>
        <v>6.1</v>
      </c>
      <c r="G86" s="31"/>
      <c r="H86" s="31"/>
      <c r="I86" s="31">
        <f>IF(SmtRes!AA42=0,"",ROUND(SmtRes!AA42,2))</f>
      </c>
      <c r="J86" s="31">
        <f>IF(SmtRes!AB42=0,"",ROUND(SmtRes!AB42,2))</f>
        <v>2.77</v>
      </c>
      <c r="K86" s="31"/>
      <c r="L86" s="31"/>
      <c r="M86" s="31">
        <f>IF(SmtRes!AA42=0,"",ROUND(SmtRes!AA42*E86,2))</f>
      </c>
      <c r="N86" s="31">
        <f>IF(SmtRes!AB42=0,"",ROUND(SmtRes!AB42*E86,2))</f>
        <v>0.51</v>
      </c>
    </row>
    <row r="87" spans="1:14" ht="12.75">
      <c r="A87" s="52" t="s">
        <v>403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s="22" customFormat="1" ht="12">
      <c r="A88" s="33"/>
      <c r="B88" s="34" t="str">
        <f>SmtRes!I43</f>
        <v>999-9900</v>
      </c>
      <c r="C88" s="34" t="str">
        <f>SmtRes!K43</f>
        <v>Строительный мусор</v>
      </c>
      <c r="D88" s="34" t="str">
        <f>SmtRes!O43</f>
        <v>т</v>
      </c>
      <c r="E88" s="33">
        <f>SmtRes!Y43*Source!I31</f>
        <v>0.16799999999999998</v>
      </c>
      <c r="F88" s="33">
        <f>SmtRes!Y43</f>
        <v>5.6</v>
      </c>
      <c r="G88" s="33"/>
      <c r="H88" s="33"/>
      <c r="I88" s="33">
        <f>IF(SmtRes!AA43=0,"",ROUND(SmtRes!AA43,2))</f>
      </c>
      <c r="J88" s="33">
        <f>IF(SmtRes!AB43=0,"",ROUND(SmtRes!AB43,2))</f>
      </c>
      <c r="K88" s="33"/>
      <c r="L88" s="33"/>
      <c r="M88" s="33">
        <f>IF(SmtRes!AA43=0,"",ROUND(SmtRes!AA43*E88,2))</f>
      </c>
      <c r="N88" s="33">
        <f>IF(SmtRes!AB43=0,"",ROUND(SmtRes!AB43*E88,2))</f>
      </c>
    </row>
    <row r="89" spans="1:14" ht="51">
      <c r="A89" s="25">
        <f>Source!E32</f>
        <v>10</v>
      </c>
      <c r="B89" s="26" t="str">
        <f>CONCATENATE(Source!F32,"   К=ЭММ)*1,25, ЗПМ)*1,25, ОЗП)*1,15")</f>
        <v>10-01-003-1   К=ЭММ)*1,25, ЗПМ)*1,25, ОЗП)*1,15</v>
      </c>
      <c r="C89" s="26" t="str">
        <f>Source!G32</f>
        <v>Устройство слуховых окон</v>
      </c>
      <c r="D89" s="26" t="str">
        <f>Source!H32</f>
        <v>шт</v>
      </c>
      <c r="E89" s="27">
        <f>Source!I32</f>
        <v>3</v>
      </c>
      <c r="F89" s="27"/>
      <c r="G89" s="28">
        <f>IF(Source!AH32=0,"",ROUND(Source!AH32,2))</f>
        <v>7.62</v>
      </c>
      <c r="H89" s="28">
        <f>IF(Source!AI32=0,"",ROUND(Source!AI32,2))</f>
        <v>0.28</v>
      </c>
      <c r="I89" s="28">
        <f>IF(Source!AC32=0,"",ROUND(Source!AC32,2))</f>
        <v>246.64</v>
      </c>
      <c r="J89" s="28">
        <f>IF(Source!AD32=0,"",ROUND(Source!AD32,2))</f>
        <v>25.39</v>
      </c>
      <c r="K89" s="28">
        <f>IF(Source!U32=0,"",ROUND(Source!U32,2))</f>
        <v>22.87</v>
      </c>
      <c r="L89" s="28">
        <f>IF(Source!V32=0,"",ROUND(Source!V32,2))</f>
        <v>0.83</v>
      </c>
      <c r="M89" s="28">
        <f>IF(Source!P32=0,"",ROUND(Source!P32,2))</f>
        <v>739.92</v>
      </c>
      <c r="N89" s="28">
        <f>IF(Source!Q32=0,"",ROUND(Source!Q32,2))</f>
        <v>76.16</v>
      </c>
    </row>
    <row r="90" spans="1:14" s="20" customFormat="1" ht="36">
      <c r="A90" s="29"/>
      <c r="B90" s="30" t="str">
        <f>SmtRes!I44</f>
        <v>1-3.0-73</v>
      </c>
      <c r="C90" s="30" t="str">
        <f>SmtRes!K44</f>
        <v>Затраты труда рабочих-строителей (средний разряд 3.0)</v>
      </c>
      <c r="D90" s="30" t="str">
        <f>SmtRes!O44</f>
        <v>чел.ч</v>
      </c>
      <c r="E90" s="29">
        <f>SmtRes!Y44*Source!I32</f>
        <v>22.8735</v>
      </c>
      <c r="F90" s="29">
        <f>SmtRes!Y44</f>
        <v>7.624499999999999</v>
      </c>
      <c r="G90" s="29"/>
      <c r="H90" s="29"/>
      <c r="I90" s="29">
        <f>IF(SmtRes!AA44=0,"",ROUND(SmtRes!AA44,2))</f>
      </c>
      <c r="J90" s="29">
        <f>IF(SmtRes!AB44=0,"",ROUND(SmtRes!AB44,2))</f>
      </c>
      <c r="K90" s="29"/>
      <c r="L90" s="29"/>
      <c r="M90" s="29">
        <f>IF(SmtRes!AA44=0,"",ROUND(SmtRes!AA44*E90,2))</f>
      </c>
      <c r="N90" s="29">
        <f>IF(SmtRes!AB44=0,"",ROUND(SmtRes!AB44*E90,2))</f>
      </c>
    </row>
    <row r="91" spans="1:14" s="20" customFormat="1" ht="24">
      <c r="A91" s="29"/>
      <c r="B91" s="30" t="str">
        <f>SmtRes!I45</f>
        <v>2</v>
      </c>
      <c r="C91" s="30" t="str">
        <f>SmtRes!K45</f>
        <v>Затраты труда машинистов</v>
      </c>
      <c r="D91" s="30" t="str">
        <f>SmtRes!O45</f>
        <v>чел.час</v>
      </c>
      <c r="E91" s="29">
        <f>SmtRes!Y45*Source!I32</f>
        <v>0.8250000000000001</v>
      </c>
      <c r="F91" s="29">
        <f>SmtRes!Y45</f>
        <v>0.275</v>
      </c>
      <c r="G91" s="29"/>
      <c r="H91" s="29"/>
      <c r="I91" s="29">
        <f>IF(SmtRes!AA45=0,"",ROUND(SmtRes!AA45,2))</f>
      </c>
      <c r="J91" s="29">
        <f>IF(SmtRes!AB45=0,"",ROUND(SmtRes!AB45,2))</f>
      </c>
      <c r="K91" s="29"/>
      <c r="L91" s="29"/>
      <c r="M91" s="29">
        <f>IF(SmtRes!AA45=0,"",ROUND(SmtRes!AA45*E91,2))</f>
      </c>
      <c r="N91" s="29">
        <f>IF(SmtRes!AB45=0,"",ROUND(SmtRes!AB45*E91,2))</f>
      </c>
    </row>
    <row r="92" spans="1:14" ht="12.75">
      <c r="A92" s="52" t="s">
        <v>402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s="21" customFormat="1" ht="60">
      <c r="A93" s="31"/>
      <c r="B93" s="32" t="str">
        <f>SmtRes!I46</f>
        <v>021141</v>
      </c>
      <c r="C93" s="32" t="str">
        <f>SmtRes!K46</f>
        <v>Краны на автомобильном ходу при работе на других видах строительства (кроме магистральных трубопроводов) 10 т</v>
      </c>
      <c r="D93" s="32" t="str">
        <f>SmtRes!O46</f>
        <v>маш.-ч</v>
      </c>
      <c r="E93" s="31">
        <f>SmtRes!Y46*Source!I32</f>
        <v>0.41250000000000003</v>
      </c>
      <c r="F93" s="31">
        <f>SmtRes!Y46</f>
        <v>0.1375</v>
      </c>
      <c r="G93" s="31"/>
      <c r="H93" s="31"/>
      <c r="I93" s="31">
        <f>IF(SmtRes!AA46=0,"",ROUND(SmtRes!AA46,2))</f>
      </c>
      <c r="J93" s="31">
        <f>IF(SmtRes!AB46=0,"",ROUND(SmtRes!AB46,2))</f>
        <v>123.73</v>
      </c>
      <c r="K93" s="31"/>
      <c r="L93" s="31"/>
      <c r="M93" s="31">
        <f>IF(SmtRes!AA46=0,"",ROUND(SmtRes!AA46*E93,2))</f>
      </c>
      <c r="N93" s="31">
        <f>IF(SmtRes!AB46=0,"",ROUND(SmtRes!AB46*E93,2))</f>
        <v>51.04</v>
      </c>
    </row>
    <row r="94" spans="1:14" s="21" customFormat="1" ht="24">
      <c r="A94" s="31"/>
      <c r="B94" s="32" t="str">
        <f>SmtRes!I47</f>
        <v>331531</v>
      </c>
      <c r="C94" s="32" t="str">
        <f>SmtRes!K47</f>
        <v>Пилы дисковые электрические</v>
      </c>
      <c r="D94" s="32" t="str">
        <f>SmtRes!O47</f>
        <v>маш.ч</v>
      </c>
      <c r="E94" s="31">
        <f>SmtRes!Y47*Source!I32</f>
        <v>0.6000000000000001</v>
      </c>
      <c r="F94" s="31">
        <f>SmtRes!Y47</f>
        <v>0.2</v>
      </c>
      <c r="G94" s="31"/>
      <c r="H94" s="31"/>
      <c r="I94" s="31">
        <f>IF(SmtRes!AA47=0,"",ROUND(SmtRes!AA47,2))</f>
      </c>
      <c r="J94" s="31">
        <f>IF(SmtRes!AB47=0,"",ROUND(SmtRes!AB47,2))</f>
        <v>0.15</v>
      </c>
      <c r="K94" s="31"/>
      <c r="L94" s="31"/>
      <c r="M94" s="31">
        <f>IF(SmtRes!AA47=0,"",ROUND(SmtRes!AA47*E94,2))</f>
      </c>
      <c r="N94" s="31">
        <f>IF(SmtRes!AB47=0,"",ROUND(SmtRes!AB47*E94,2))</f>
        <v>0.09</v>
      </c>
    </row>
    <row r="95" spans="1:14" s="21" customFormat="1" ht="24">
      <c r="A95" s="31"/>
      <c r="B95" s="32" t="str">
        <f>SmtRes!I48</f>
        <v>400001</v>
      </c>
      <c r="C95" s="32" t="str">
        <f>SmtRes!K48</f>
        <v>Автомобили бортовые грузоподъемностью до 5 т</v>
      </c>
      <c r="D95" s="32" t="str">
        <f>SmtRes!O48</f>
        <v>маш.-ч</v>
      </c>
      <c r="E95" s="31">
        <f>SmtRes!Y48*Source!I32</f>
        <v>0.41250000000000003</v>
      </c>
      <c r="F95" s="31">
        <f>SmtRes!Y48</f>
        <v>0.1375</v>
      </c>
      <c r="G95" s="31"/>
      <c r="H95" s="31"/>
      <c r="I95" s="31">
        <f>IF(SmtRes!AA48=0,"",ROUND(SmtRes!AA48,2))</f>
      </c>
      <c r="J95" s="31">
        <f>IF(SmtRes!AB48=0,"",ROUND(SmtRes!AB48,2))</f>
        <v>60.77</v>
      </c>
      <c r="K95" s="31"/>
      <c r="L95" s="31"/>
      <c r="M95" s="31">
        <f>IF(SmtRes!AA48=0,"",ROUND(SmtRes!AA48*E95,2))</f>
      </c>
      <c r="N95" s="31">
        <f>IF(SmtRes!AB48=0,"",ROUND(SmtRes!AB48*E95,2))</f>
        <v>25.07</v>
      </c>
    </row>
    <row r="96" spans="1:14" ht="12.75">
      <c r="A96" s="52" t="s">
        <v>403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s="22" customFormat="1" ht="12">
      <c r="A97" s="35"/>
      <c r="B97" s="36" t="str">
        <f>SmtRes!I49</f>
        <v>101-1805</v>
      </c>
      <c r="C97" s="36" t="str">
        <f>SmtRes!K49</f>
        <v>Гвозди строительные</v>
      </c>
      <c r="D97" s="36" t="str">
        <f>SmtRes!O49</f>
        <v>т</v>
      </c>
      <c r="E97" s="35">
        <f>SmtRes!Y49*Source!I32</f>
        <v>0.0042</v>
      </c>
      <c r="F97" s="35">
        <f>SmtRes!Y49</f>
        <v>0.0014</v>
      </c>
      <c r="G97" s="35"/>
      <c r="H97" s="35"/>
      <c r="I97" s="35">
        <f>IF(SmtRes!AA49=0,"",ROUND(SmtRes!AA49,2))</f>
        <v>7696.95</v>
      </c>
      <c r="J97" s="35">
        <f>IF(SmtRes!AB49=0,"",ROUND(SmtRes!AB49,2))</f>
      </c>
      <c r="K97" s="35"/>
      <c r="L97" s="35"/>
      <c r="M97" s="35">
        <f>IF(SmtRes!AA49=0,"",ROUND(SmtRes!AA49*E97,2))</f>
        <v>32.33</v>
      </c>
      <c r="N97" s="35">
        <f>IF(SmtRes!AB49=0,"",ROUND(SmtRes!AB49*E97,2))</f>
      </c>
    </row>
    <row r="98" spans="1:14" s="22" customFormat="1" ht="72">
      <c r="A98" s="35"/>
      <c r="B98" s="36" t="str">
        <f>SmtRes!I50</f>
        <v>102-0010</v>
      </c>
      <c r="C98" s="36" t="str">
        <f>SmtRes!K50</f>
        <v>Лесоматериалы круглые хвойных пород для выработки пиломатериалов и заготовок(пластины)толщиной 20-24 см   II сорта</v>
      </c>
      <c r="D98" s="36" t="str">
        <f>SmtRes!O50</f>
        <v>м3</v>
      </c>
      <c r="E98" s="35">
        <f>SmtRes!Y50*Source!I32</f>
        <v>0.18</v>
      </c>
      <c r="F98" s="35">
        <f>SmtRes!Y50</f>
        <v>0.06</v>
      </c>
      <c r="G98" s="35"/>
      <c r="H98" s="35"/>
      <c r="I98" s="35">
        <f>IF(SmtRes!AA50=0,"",ROUND(SmtRes!AA50,2))</f>
        <v>625.09</v>
      </c>
      <c r="J98" s="35">
        <f>IF(SmtRes!AB50=0,"",ROUND(SmtRes!AB50,2))</f>
      </c>
      <c r="K98" s="35"/>
      <c r="L98" s="35"/>
      <c r="M98" s="35">
        <f>IF(SmtRes!AA50=0,"",ROUND(SmtRes!AA50*E98,2))</f>
        <v>112.52</v>
      </c>
      <c r="N98" s="35">
        <f>IF(SmtRes!AB50=0,"",ROUND(SmtRes!AB50*E98,2))</f>
      </c>
    </row>
    <row r="99" spans="1:14" s="22" customFormat="1" ht="60">
      <c r="A99" s="35"/>
      <c r="B99" s="36" t="str">
        <f>SmtRes!I51</f>
        <v>102-0049</v>
      </c>
      <c r="C99" s="36" t="str">
        <f>SmtRes!K51</f>
        <v>Пиломатериалы хвойных пород.Доски обрезные длиной 4-6.5 м, шириной 75-150 мм, толщиной 19-22 мм   III сорта</v>
      </c>
      <c r="D99" s="36" t="str">
        <f>SmtRes!O51</f>
        <v>м3</v>
      </c>
      <c r="E99" s="35">
        <f>SmtRes!Y51*Source!I32</f>
        <v>0.18</v>
      </c>
      <c r="F99" s="35">
        <f>SmtRes!Y51</f>
        <v>0.06</v>
      </c>
      <c r="G99" s="35"/>
      <c r="H99" s="35"/>
      <c r="I99" s="35">
        <f>IF(SmtRes!AA51=0,"",ROUND(SmtRes!AA51,2))</f>
        <v>1119.14</v>
      </c>
      <c r="J99" s="35">
        <f>IF(SmtRes!AB51=0,"",ROUND(SmtRes!AB51,2))</f>
      </c>
      <c r="K99" s="35"/>
      <c r="L99" s="35"/>
      <c r="M99" s="35">
        <f>IF(SmtRes!AA51=0,"",ROUND(SmtRes!AA51*E99,2))</f>
        <v>201.45</v>
      </c>
      <c r="N99" s="35">
        <f>IF(SmtRes!AB51=0,"",ROUND(SmtRes!AB51*E99,2))</f>
      </c>
    </row>
    <row r="100" spans="1:14" s="22" customFormat="1" ht="60">
      <c r="A100" s="35"/>
      <c r="B100" s="36" t="str">
        <f>SmtRes!I52</f>
        <v>102-0061</v>
      </c>
      <c r="C100" s="36" t="str">
        <f>SmtRes!K52</f>
        <v>Пиломатериалы хвойных пород.Доски обрезные длиной 4-6.5 м, шириной 75-150 мм, толщиной 44 мм и более   III сорта</v>
      </c>
      <c r="D100" s="36" t="str">
        <f>SmtRes!O52</f>
        <v>м3</v>
      </c>
      <c r="E100" s="35">
        <f>SmtRes!Y52*Source!I32</f>
        <v>0.30000000000000004</v>
      </c>
      <c r="F100" s="35">
        <f>SmtRes!Y52</f>
        <v>0.1</v>
      </c>
      <c r="G100" s="35"/>
      <c r="H100" s="35"/>
      <c r="I100" s="35">
        <f>IF(SmtRes!AA52=0,"",ROUND(SmtRes!AA52,2))</f>
        <v>1311.95</v>
      </c>
      <c r="J100" s="35">
        <f>IF(SmtRes!AB52=0,"",ROUND(SmtRes!AB52,2))</f>
      </c>
      <c r="K100" s="35"/>
      <c r="L100" s="35"/>
      <c r="M100" s="35">
        <f>IF(SmtRes!AA52=0,"",ROUND(SmtRes!AA52*E100,2))</f>
        <v>393.59</v>
      </c>
      <c r="N100" s="35">
        <f>IF(SmtRes!AB52=0,"",ROUND(SmtRes!AB52*E100,2))</f>
      </c>
    </row>
    <row r="101" spans="1:14" s="22" customFormat="1" ht="24">
      <c r="A101" s="35"/>
      <c r="B101" s="36" t="str">
        <f>SmtRes!I53</f>
        <v>203-9053</v>
      </c>
      <c r="C101" s="36" t="str">
        <f>SmtRes!K53</f>
        <v>Переплеты оконные для жилых зданий</v>
      </c>
      <c r="D101" s="36" t="str">
        <f>SmtRes!O53</f>
        <v>м2</v>
      </c>
      <c r="E101" s="35">
        <f>SmtRes!Y53*Source!I32</f>
        <v>2.499999</v>
      </c>
      <c r="F101" s="35">
        <f>SmtRes!Y53</f>
        <v>0.833333</v>
      </c>
      <c r="G101" s="35"/>
      <c r="H101" s="35"/>
      <c r="I101" s="35">
        <f>IF(SmtRes!AA53=0,"",ROUND(SmtRes!AA53,2))</f>
        <v>161.47</v>
      </c>
      <c r="J101" s="35">
        <f>IF(SmtRes!AB53=0,"",ROUND(SmtRes!AB53,2))</f>
      </c>
      <c r="K101" s="35"/>
      <c r="L101" s="35"/>
      <c r="M101" s="35">
        <f>IF(SmtRes!AA53=0,"",ROUND(SmtRes!AA53*E101,2))</f>
        <v>403.67</v>
      </c>
      <c r="N101" s="35">
        <f>IF(SmtRes!AB53=0,"",ROUND(SmtRes!AB53*E101,2))</f>
      </c>
    </row>
    <row r="102" spans="1:14" s="22" customFormat="1" ht="12">
      <c r="A102" s="35"/>
      <c r="B102" s="36" t="str">
        <f>SmtRes!I54</f>
        <v>203-9156</v>
      </c>
      <c r="C102" s="36" t="str">
        <f>SmtRes!K54</f>
        <v>Приборы оконные</v>
      </c>
      <c r="D102" s="36" t="str">
        <f>SmtRes!O54</f>
        <v>компл.</v>
      </c>
      <c r="E102" s="35">
        <f>SmtRes!Y54*Source!I32</f>
        <v>0</v>
      </c>
      <c r="F102" s="35">
        <f>SmtRes!Y54</f>
        <v>0</v>
      </c>
      <c r="G102" s="35"/>
      <c r="H102" s="35"/>
      <c r="I102" s="35">
        <f>IF(SmtRes!AA54=0,"",ROUND(SmtRes!AA54,2))</f>
        <v>39.55</v>
      </c>
      <c r="J102" s="35">
        <f>IF(SmtRes!AB54=0,"",ROUND(SmtRes!AB54,2))</f>
      </c>
      <c r="K102" s="35"/>
      <c r="L102" s="35"/>
      <c r="M102" s="35">
        <f>IF(SmtRes!AA54=0,"",ROUND(SmtRes!AA54*E102,2))</f>
        <v>0</v>
      </c>
      <c r="N102" s="35">
        <f>IF(SmtRes!AB54=0,"",ROUND(SmtRes!AB54*E102,2))</f>
      </c>
    </row>
    <row r="103" spans="1:14" ht="25.5">
      <c r="A103" s="40"/>
      <c r="B103" s="40"/>
      <c r="C103" s="41" t="str">
        <f>Source!G34</f>
        <v>Ремонт отопительной системы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</row>
    <row r="104" spans="1:14" ht="51">
      <c r="A104" s="25">
        <v>7</v>
      </c>
      <c r="B104" s="26" t="str">
        <f>Source!BJ35</f>
        <v>ТЕРр Ульяновской обл.,сб.65,поз.5-2</v>
      </c>
      <c r="C104" s="26" t="str">
        <f>Source!G35</f>
        <v>Смена арматуры вентилей и клапанов обратных муфтовых диаметром до 32 мм</v>
      </c>
      <c r="D104" s="26" t="str">
        <f>Source!H35</f>
        <v>100 шт.</v>
      </c>
      <c r="E104" s="27">
        <f>Source!I35</f>
        <v>0.15</v>
      </c>
      <c r="F104" s="27"/>
      <c r="G104" s="28">
        <f>IF(Source!AH35=0,"",ROUND(Source!AH35,2))</f>
        <v>103</v>
      </c>
      <c r="H104" s="28">
        <f>IF(Source!AI35=0,"",ROUND(Source!AI35,2))</f>
        <v>0.12</v>
      </c>
      <c r="I104" s="28">
        <f>IF(Source!AC35=0,"",ROUND(Source!AC35,2))</f>
        <v>3649.49</v>
      </c>
      <c r="J104" s="28">
        <f>IF(Source!AD35=0,"",ROUND(Source!AD35,2))</f>
        <v>7.29</v>
      </c>
      <c r="K104" s="28">
        <f>IF(Source!U35=0,"",ROUND(Source!U35,2))</f>
        <v>15.45</v>
      </c>
      <c r="L104" s="28">
        <f>IF(Source!V35=0,"",ROUND(Source!V35,2))</f>
        <v>0.02</v>
      </c>
      <c r="M104" s="28">
        <f>IF(Source!P35=0,"",ROUND(Source!P35,2))</f>
        <v>547.42</v>
      </c>
      <c r="N104" s="28">
        <f>IF(Source!Q35=0,"",ROUND(Source!Q35,2))</f>
        <v>1.09</v>
      </c>
    </row>
    <row r="105" spans="1:14" s="20" customFormat="1" ht="36">
      <c r="A105" s="29"/>
      <c r="B105" s="30" t="str">
        <f>SmtRes!I55</f>
        <v>1-3.5-73</v>
      </c>
      <c r="C105" s="30" t="str">
        <f>SmtRes!K55</f>
        <v>Затраты труда рабочих-строителей (средний разряд 3.5)</v>
      </c>
      <c r="D105" s="30" t="str">
        <f>SmtRes!O55</f>
        <v>чел.ч</v>
      </c>
      <c r="E105" s="29">
        <f>SmtRes!Y55*Source!I35</f>
        <v>15.45</v>
      </c>
      <c r="F105" s="29">
        <f>SmtRes!Y55</f>
        <v>103</v>
      </c>
      <c r="G105" s="29"/>
      <c r="H105" s="29"/>
      <c r="I105" s="29">
        <f>IF(SmtRes!AA55=0,"",ROUND(SmtRes!AA55,2))</f>
      </c>
      <c r="J105" s="29">
        <f>IF(SmtRes!AB55=0,"",ROUND(SmtRes!AB55,2))</f>
      </c>
      <c r="K105" s="29"/>
      <c r="L105" s="29"/>
      <c r="M105" s="29">
        <f>IF(SmtRes!AA55=0,"",ROUND(SmtRes!AA55*E105,2))</f>
      </c>
      <c r="N105" s="29">
        <f>IF(SmtRes!AB55=0,"",ROUND(SmtRes!AB55*E105,2))</f>
      </c>
    </row>
    <row r="106" spans="1:14" s="20" customFormat="1" ht="24">
      <c r="A106" s="29"/>
      <c r="B106" s="30" t="str">
        <f>SmtRes!I56</f>
        <v>2</v>
      </c>
      <c r="C106" s="30" t="str">
        <f>SmtRes!K56</f>
        <v>Затраты труда машинистов</v>
      </c>
      <c r="D106" s="30" t="str">
        <f>SmtRes!O56</f>
        <v>чел.час</v>
      </c>
      <c r="E106" s="29">
        <f>SmtRes!Y56*Source!I35</f>
        <v>0.018</v>
      </c>
      <c r="F106" s="29">
        <f>SmtRes!Y56</f>
        <v>0.12</v>
      </c>
      <c r="G106" s="29"/>
      <c r="H106" s="29"/>
      <c r="I106" s="29">
        <f>IF(SmtRes!AA56=0,"",ROUND(SmtRes!AA56,2))</f>
      </c>
      <c r="J106" s="29">
        <f>IF(SmtRes!AB56=0,"",ROUND(SmtRes!AB56,2))</f>
      </c>
      <c r="K106" s="29"/>
      <c r="L106" s="29"/>
      <c r="M106" s="29">
        <f>IF(SmtRes!AA56=0,"",ROUND(SmtRes!AA56*E106,2))</f>
      </c>
      <c r="N106" s="29">
        <f>IF(SmtRes!AB56=0,"",ROUND(SmtRes!AB56*E106,2))</f>
      </c>
    </row>
    <row r="107" spans="1:14" ht="12.75">
      <c r="A107" s="52" t="s">
        <v>402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s="21" customFormat="1" ht="24">
      <c r="A108" s="31"/>
      <c r="B108" s="32" t="str">
        <f>SmtRes!I57</f>
        <v>400001</v>
      </c>
      <c r="C108" s="32" t="str">
        <f>SmtRes!K57</f>
        <v>Автомобили бортовые грузоподъемностью до 5 т</v>
      </c>
      <c r="D108" s="32" t="str">
        <f>SmtRes!O57</f>
        <v>маш.-ч</v>
      </c>
      <c r="E108" s="31">
        <f>SmtRes!Y57*Source!I35</f>
        <v>0.018</v>
      </c>
      <c r="F108" s="31">
        <f>SmtRes!Y57</f>
        <v>0.12</v>
      </c>
      <c r="G108" s="31"/>
      <c r="H108" s="31"/>
      <c r="I108" s="31">
        <f>IF(SmtRes!AA57=0,"",ROUND(SmtRes!AA57,2))</f>
      </c>
      <c r="J108" s="31">
        <f>IF(SmtRes!AB57=0,"",ROUND(SmtRes!AB57,2))</f>
        <v>60.77</v>
      </c>
      <c r="K108" s="31"/>
      <c r="L108" s="31"/>
      <c r="M108" s="31">
        <f>IF(SmtRes!AA57=0,"",ROUND(SmtRes!AA57*E108,2))</f>
      </c>
      <c r="N108" s="31">
        <f>IF(SmtRes!AB57=0,"",ROUND(SmtRes!AB57*E108,2))</f>
        <v>1.09</v>
      </c>
    </row>
    <row r="109" spans="1:14" ht="12.75">
      <c r="A109" s="52" t="s">
        <v>403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s="22" customFormat="1" ht="36">
      <c r="A110" s="35"/>
      <c r="B110" s="36" t="str">
        <f>SmtRes!I58</f>
        <v>101-0388</v>
      </c>
      <c r="C110" s="36" t="str">
        <f>SmtRes!K58</f>
        <v>Краски масляные земляные МА-0115  мумия, сурик железный</v>
      </c>
      <c r="D110" s="36" t="str">
        <f>SmtRes!O58</f>
        <v>т</v>
      </c>
      <c r="E110" s="35">
        <f>SmtRes!Y58*Source!I35</f>
        <v>0.000375</v>
      </c>
      <c r="F110" s="35">
        <f>SmtRes!Y58</f>
        <v>0.0025</v>
      </c>
      <c r="G110" s="35"/>
      <c r="H110" s="35"/>
      <c r="I110" s="35">
        <f>IF(SmtRes!AA58=0,"",ROUND(SmtRes!AA58,2))</f>
        <v>13884.14</v>
      </c>
      <c r="J110" s="35">
        <f>IF(SmtRes!AB58=0,"",ROUND(SmtRes!AB58,2))</f>
      </c>
      <c r="K110" s="35"/>
      <c r="L110" s="35"/>
      <c r="M110" s="35">
        <f>IF(SmtRes!AA58=0,"",ROUND(SmtRes!AA58*E110,2))</f>
        <v>5.21</v>
      </c>
      <c r="N110" s="35">
        <f>IF(SmtRes!AB58=0,"",ROUND(SmtRes!AB58*E110,2))</f>
      </c>
    </row>
    <row r="111" spans="1:14" s="22" customFormat="1" ht="24">
      <c r="A111" s="35"/>
      <c r="B111" s="36" t="str">
        <f>SmtRes!I59</f>
        <v>101-0628</v>
      </c>
      <c r="C111" s="36" t="str">
        <f>SmtRes!K59</f>
        <v>Олифа комбинированная К-3</v>
      </c>
      <c r="D111" s="36" t="str">
        <f>SmtRes!O59</f>
        <v>т</v>
      </c>
      <c r="E111" s="35">
        <f>SmtRes!Y59*Source!I35</f>
        <v>0.00017999999999999998</v>
      </c>
      <c r="F111" s="35">
        <f>SmtRes!Y59</f>
        <v>0.0012</v>
      </c>
      <c r="G111" s="35"/>
      <c r="H111" s="35"/>
      <c r="I111" s="35">
        <f>IF(SmtRes!AA59=0,"",ROUND(SmtRes!AA59,2))</f>
        <v>22015.32</v>
      </c>
      <c r="J111" s="35">
        <f>IF(SmtRes!AB59=0,"",ROUND(SmtRes!AB59,2))</f>
      </c>
      <c r="K111" s="35"/>
      <c r="L111" s="35"/>
      <c r="M111" s="35">
        <f>IF(SmtRes!AA59=0,"",ROUND(SmtRes!AA59*E111,2))</f>
        <v>3.96</v>
      </c>
      <c r="N111" s="35">
        <f>IF(SmtRes!AB59=0,"",ROUND(SmtRes!AB59*E111,2))</f>
      </c>
    </row>
    <row r="112" spans="1:14" s="22" customFormat="1" ht="12">
      <c r="A112" s="35"/>
      <c r="B112" s="36" t="str">
        <f>SmtRes!I60</f>
        <v>101-1669</v>
      </c>
      <c r="C112" s="36" t="str">
        <f>SmtRes!K60</f>
        <v>Очес льняной</v>
      </c>
      <c r="D112" s="36" t="str">
        <f>SmtRes!O60</f>
        <v>кг</v>
      </c>
      <c r="E112" s="35">
        <f>SmtRes!Y60*Source!I35</f>
        <v>0.183</v>
      </c>
      <c r="F112" s="35">
        <f>SmtRes!Y60</f>
        <v>1.22</v>
      </c>
      <c r="G112" s="35"/>
      <c r="H112" s="35"/>
      <c r="I112" s="35">
        <f>IF(SmtRes!AA60=0,"",ROUND(SmtRes!AA60,2))</f>
        <v>37.18</v>
      </c>
      <c r="J112" s="35">
        <f>IF(SmtRes!AB60=0,"",ROUND(SmtRes!AB60,2))</f>
      </c>
      <c r="K112" s="35"/>
      <c r="L112" s="35"/>
      <c r="M112" s="35">
        <f>IF(SmtRes!AA60=0,"",ROUND(SmtRes!AA60*E112,2))</f>
        <v>6.8</v>
      </c>
      <c r="N112" s="35">
        <f>IF(SmtRes!AB60=0,"",ROUND(SmtRes!AB60*E112,2))</f>
      </c>
    </row>
    <row r="113" spans="1:14" s="22" customFormat="1" ht="48">
      <c r="A113" s="35"/>
      <c r="B113" s="36" t="str">
        <f>SmtRes!I61</f>
        <v>300-1344</v>
      </c>
      <c r="C113" s="36" t="str">
        <f>SmtRes!K61</f>
        <v>Вентили проходные муфтовые 15кч18п для воды, давлением 1.6 МПа(16 кгс/см2), диаметром 32 мм</v>
      </c>
      <c r="D113" s="36" t="str">
        <f>SmtRes!O61</f>
        <v>шт.</v>
      </c>
      <c r="E113" s="35">
        <f>SmtRes!Y61*Source!I35</f>
        <v>15</v>
      </c>
      <c r="F113" s="35">
        <f>SmtRes!Y61</f>
        <v>100</v>
      </c>
      <c r="G113" s="35"/>
      <c r="H113" s="35"/>
      <c r="I113" s="35">
        <f>IF(SmtRes!AA61=0,"",ROUND(SmtRes!AA61,2))</f>
        <v>35.43</v>
      </c>
      <c r="J113" s="35">
        <f>IF(SmtRes!AB61=0,"",ROUND(SmtRes!AB61,2))</f>
      </c>
      <c r="K113" s="35"/>
      <c r="L113" s="35"/>
      <c r="M113" s="35">
        <f>IF(SmtRes!AA61=0,"",ROUND(SmtRes!AA61*E113,2))</f>
        <v>531.45</v>
      </c>
      <c r="N113" s="35">
        <f>IF(SmtRes!AB61=0,"",ROUND(SmtRes!AB61*E113,2))</f>
      </c>
    </row>
    <row r="114" spans="1:14" s="22" customFormat="1" ht="36">
      <c r="A114" s="33"/>
      <c r="B114" s="34" t="str">
        <f>SmtRes!I62</f>
        <v>999-9899</v>
      </c>
      <c r="C114" s="34" t="str">
        <f>SmtRes!K62</f>
        <v>Строительный мусор и масса возвратных материалов</v>
      </c>
      <c r="D114" s="34" t="str">
        <f>SmtRes!O62</f>
        <v>т</v>
      </c>
      <c r="E114" s="33">
        <f>SmtRes!Y62*Source!I35</f>
        <v>0.0165</v>
      </c>
      <c r="F114" s="33">
        <f>SmtRes!Y62</f>
        <v>0.11</v>
      </c>
      <c r="G114" s="33"/>
      <c r="H114" s="33"/>
      <c r="I114" s="33">
        <f>IF(SmtRes!AA62=0,"",ROUND(SmtRes!AA62,2))</f>
      </c>
      <c r="J114" s="33">
        <f>IF(SmtRes!AB62=0,"",ROUND(SmtRes!AB62,2))</f>
      </c>
      <c r="K114" s="33"/>
      <c r="L114" s="33"/>
      <c r="M114" s="33">
        <f>IF(SmtRes!AA62=0,"",ROUND(SmtRes!AA62*E114,2))</f>
      </c>
      <c r="N114" s="33">
        <f>IF(SmtRes!AB62=0,"",ROUND(SmtRes!AB62*E114,2))</f>
      </c>
    </row>
    <row r="115" spans="1:14" ht="38.25">
      <c r="A115" s="25">
        <v>8</v>
      </c>
      <c r="B115" s="26" t="str">
        <f>CONCATENATE(Source!F36,"   К=ОЗП)*1,15")</f>
        <v>65-9-5   К=ОЗП)*1,15</v>
      </c>
      <c r="C115" s="26" t="str">
        <f>Source!G36</f>
        <v>Смена внутренних трубопроводов из стальных труб диаметром 40 мм</v>
      </c>
      <c r="D115" s="26" t="str">
        <f>Source!H36</f>
        <v>100 м</v>
      </c>
      <c r="E115" s="27">
        <f>Source!I36</f>
        <v>0.64</v>
      </c>
      <c r="F115" s="27"/>
      <c r="G115" s="28">
        <f>IF(Source!AH36=0,"",ROUND(Source!AH36,2))</f>
        <v>139.61</v>
      </c>
      <c r="H115" s="28">
        <f>IF(Source!AI36=0,"",ROUND(Source!AI36,2))</f>
        <v>0.48</v>
      </c>
      <c r="I115" s="28">
        <f>IF(Source!AC36=0,"",ROUND(Source!AC36,2))</f>
        <v>7142.43</v>
      </c>
      <c r="J115" s="28">
        <f>IF(Source!AD36=0,"",ROUND(Source!AD36,2))</f>
        <v>31.65</v>
      </c>
      <c r="K115" s="28">
        <f>IF(Source!U36=0,"",ROUND(Source!U36,2))</f>
        <v>89.35</v>
      </c>
      <c r="L115" s="28">
        <f>IF(Source!V36=0,"",ROUND(Source!V36,2))</f>
        <v>0.31</v>
      </c>
      <c r="M115" s="28">
        <f>IF(Source!P36=0,"",ROUND(Source!P36,2))</f>
        <v>4571.16</v>
      </c>
      <c r="N115" s="28">
        <f>IF(Source!Q36=0,"",ROUND(Source!Q36,2))</f>
        <v>20.26</v>
      </c>
    </row>
    <row r="116" spans="1:14" s="20" customFormat="1" ht="36">
      <c r="A116" s="29"/>
      <c r="B116" s="30" t="str">
        <f>SmtRes!I63</f>
        <v>1-4.0-73</v>
      </c>
      <c r="C116" s="30" t="str">
        <f>SmtRes!K63</f>
        <v>Затраты труда рабочих-строителей (средний разряд 4.0)</v>
      </c>
      <c r="D116" s="30" t="str">
        <f>SmtRes!O63</f>
        <v>чел.ч</v>
      </c>
      <c r="E116" s="29">
        <f>SmtRes!Y63*Source!I36</f>
        <v>89.35040000000001</v>
      </c>
      <c r="F116" s="29">
        <f>SmtRes!Y63</f>
        <v>139.61</v>
      </c>
      <c r="G116" s="29"/>
      <c r="H116" s="29"/>
      <c r="I116" s="29">
        <f>IF(SmtRes!AA63=0,"",ROUND(SmtRes!AA63,2))</f>
      </c>
      <c r="J116" s="29">
        <f>IF(SmtRes!AB63=0,"",ROUND(SmtRes!AB63,2))</f>
      </c>
      <c r="K116" s="29"/>
      <c r="L116" s="29"/>
      <c r="M116" s="29">
        <f>IF(SmtRes!AA63=0,"",ROUND(SmtRes!AA63*E116,2))</f>
      </c>
      <c r="N116" s="29">
        <f>IF(SmtRes!AB63=0,"",ROUND(SmtRes!AB63*E116,2))</f>
      </c>
    </row>
    <row r="117" spans="1:14" s="20" customFormat="1" ht="24">
      <c r="A117" s="29"/>
      <c r="B117" s="30" t="str">
        <f>SmtRes!I64</f>
        <v>2</v>
      </c>
      <c r="C117" s="30" t="str">
        <f>SmtRes!K64</f>
        <v>Затраты труда машинистов</v>
      </c>
      <c r="D117" s="30" t="str">
        <f>SmtRes!O64</f>
        <v>чел.час</v>
      </c>
      <c r="E117" s="29">
        <f>SmtRes!Y64*Source!I36</f>
        <v>0.30911999999999995</v>
      </c>
      <c r="F117" s="29">
        <f>SmtRes!Y64</f>
        <v>0.48299999999999993</v>
      </c>
      <c r="G117" s="29"/>
      <c r="H117" s="29"/>
      <c r="I117" s="29">
        <f>IF(SmtRes!AA64=0,"",ROUND(SmtRes!AA64,2))</f>
      </c>
      <c r="J117" s="29">
        <f>IF(SmtRes!AB64=0,"",ROUND(SmtRes!AB64,2))</f>
      </c>
      <c r="K117" s="29"/>
      <c r="L117" s="29"/>
      <c r="M117" s="29">
        <f>IF(SmtRes!AA64=0,"",ROUND(SmtRes!AA64*E117,2))</f>
      </c>
      <c r="N117" s="29">
        <f>IF(SmtRes!AB64=0,"",ROUND(SmtRes!AB64*E117,2))</f>
      </c>
    </row>
    <row r="118" spans="1:14" ht="12.75">
      <c r="A118" s="52" t="s">
        <v>402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1:14" s="21" customFormat="1" ht="24">
      <c r="A119" s="31"/>
      <c r="B119" s="32" t="str">
        <f>SmtRes!I65</f>
        <v>031121</v>
      </c>
      <c r="C119" s="32" t="str">
        <f>SmtRes!K65</f>
        <v>Подъемники мачтовые строительные 0.5 т</v>
      </c>
      <c r="D119" s="32" t="str">
        <f>SmtRes!O65</f>
        <v>маш.-ч</v>
      </c>
      <c r="E119" s="31">
        <f>SmtRes!Y65*Source!I36</f>
        <v>0.1344</v>
      </c>
      <c r="F119" s="31">
        <f>SmtRes!Y65</f>
        <v>0.21</v>
      </c>
      <c r="G119" s="31"/>
      <c r="H119" s="31"/>
      <c r="I119" s="31">
        <f>IF(SmtRes!AA65=0,"",ROUND(SmtRes!AA65,2))</f>
      </c>
      <c r="J119" s="31">
        <f>IF(SmtRes!AB65=0,"",ROUND(SmtRes!AB65,2))</f>
        <v>13.25</v>
      </c>
      <c r="K119" s="31"/>
      <c r="L119" s="31"/>
      <c r="M119" s="31">
        <f>IF(SmtRes!AA65=0,"",ROUND(SmtRes!AA65*E119,2))</f>
      </c>
      <c r="N119" s="31">
        <f>IF(SmtRes!AB65=0,"",ROUND(SmtRes!AB65*E119,2))</f>
        <v>1.78</v>
      </c>
    </row>
    <row r="120" spans="1:14" s="21" customFormat="1" ht="36">
      <c r="A120" s="31"/>
      <c r="B120" s="32" t="str">
        <f>SmtRes!I66</f>
        <v>040502</v>
      </c>
      <c r="C120" s="32" t="str">
        <f>SmtRes!K66</f>
        <v>Установки для сварки ручной дуговой (постоянного тока)</v>
      </c>
      <c r="D120" s="32" t="str">
        <f>SmtRes!O66</f>
        <v>маш.-ч</v>
      </c>
      <c r="E120" s="31">
        <f>SmtRes!Y66*Source!I36</f>
        <v>2.9312</v>
      </c>
      <c r="F120" s="31">
        <f>SmtRes!Y66</f>
        <v>4.58</v>
      </c>
      <c r="G120" s="31"/>
      <c r="H120" s="31"/>
      <c r="I120" s="31">
        <f>IF(SmtRes!AA66=0,"",ROUND(SmtRes!AA66,2))</f>
      </c>
      <c r="J120" s="31">
        <f>IF(SmtRes!AB66=0,"",ROUND(SmtRes!AB66,2))</f>
        <v>2.94</v>
      </c>
      <c r="K120" s="31"/>
      <c r="L120" s="31"/>
      <c r="M120" s="31">
        <f>IF(SmtRes!AA66=0,"",ROUND(SmtRes!AA66*E120,2))</f>
      </c>
      <c r="N120" s="31">
        <f>IF(SmtRes!AB66=0,"",ROUND(SmtRes!AB66*E120,2))</f>
        <v>8.62</v>
      </c>
    </row>
    <row r="121" spans="1:14" s="21" customFormat="1" ht="24">
      <c r="A121" s="31"/>
      <c r="B121" s="32" t="str">
        <f>SmtRes!I67</f>
        <v>040504</v>
      </c>
      <c r="C121" s="32" t="str">
        <f>SmtRes!K67</f>
        <v>Аппараты для газовой сварки и резки</v>
      </c>
      <c r="D121" s="32" t="str">
        <f>SmtRes!O67</f>
        <v>маш.-ч</v>
      </c>
      <c r="E121" s="31">
        <f>SmtRes!Y67*Source!I36</f>
        <v>1.9647999999999999</v>
      </c>
      <c r="F121" s="31">
        <f>SmtRes!Y67</f>
        <v>3.07</v>
      </c>
      <c r="G121" s="31"/>
      <c r="H121" s="31"/>
      <c r="I121" s="31">
        <f>IF(SmtRes!AA67=0,"",ROUND(SmtRes!AA67,2))</f>
      </c>
      <c r="J121" s="31">
        <f>IF(SmtRes!AB67=0,"",ROUND(SmtRes!AB67,2))</f>
        <v>0.86</v>
      </c>
      <c r="K121" s="31"/>
      <c r="L121" s="31"/>
      <c r="M121" s="31">
        <f>IF(SmtRes!AA67=0,"",ROUND(SmtRes!AA67*E121,2))</f>
      </c>
      <c r="N121" s="31">
        <f>IF(SmtRes!AB67=0,"",ROUND(SmtRes!AB67*E121,2))</f>
        <v>1.69</v>
      </c>
    </row>
    <row r="122" spans="1:14" s="21" customFormat="1" ht="24">
      <c r="A122" s="31"/>
      <c r="B122" s="32" t="str">
        <f>SmtRes!I68</f>
        <v>400001</v>
      </c>
      <c r="C122" s="32" t="str">
        <f>SmtRes!K68</f>
        <v>Автомобили бортовые грузоподъемностью до 5 т</v>
      </c>
      <c r="D122" s="32" t="str">
        <f>SmtRes!O68</f>
        <v>маш.-ч</v>
      </c>
      <c r="E122" s="31">
        <f>SmtRes!Y68*Source!I36</f>
        <v>0.1344</v>
      </c>
      <c r="F122" s="31">
        <f>SmtRes!Y68</f>
        <v>0.21</v>
      </c>
      <c r="G122" s="31"/>
      <c r="H122" s="31"/>
      <c r="I122" s="31">
        <f>IF(SmtRes!AA68=0,"",ROUND(SmtRes!AA68,2))</f>
      </c>
      <c r="J122" s="31">
        <f>IF(SmtRes!AB68=0,"",ROUND(SmtRes!AB68,2))</f>
        <v>60.77</v>
      </c>
      <c r="K122" s="31"/>
      <c r="L122" s="31"/>
      <c r="M122" s="31">
        <f>IF(SmtRes!AA68=0,"",ROUND(SmtRes!AA68*E122,2))</f>
      </c>
      <c r="N122" s="31">
        <f>IF(SmtRes!AB68=0,"",ROUND(SmtRes!AB68*E122,2))</f>
        <v>8.17</v>
      </c>
    </row>
    <row r="123" spans="1:14" ht="12.75">
      <c r="A123" s="52" t="s">
        <v>403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1:14" s="22" customFormat="1" ht="24">
      <c r="A124" s="35"/>
      <c r="B124" s="36" t="str">
        <f>SmtRes!I69</f>
        <v>101-0324</v>
      </c>
      <c r="C124" s="36" t="str">
        <f>SmtRes!K69</f>
        <v>Кислород технический газообразный</v>
      </c>
      <c r="D124" s="36" t="str">
        <f>SmtRes!O69</f>
        <v>м3</v>
      </c>
      <c r="E124" s="35">
        <f>SmtRes!Y69*Source!I36</f>
        <v>0.3264</v>
      </c>
      <c r="F124" s="35">
        <f>SmtRes!Y69</f>
        <v>0.51</v>
      </c>
      <c r="G124" s="35"/>
      <c r="H124" s="35"/>
      <c r="I124" s="35">
        <f>IF(SmtRes!AA69=0,"",ROUND(SmtRes!AA69,2))</f>
        <v>8.21</v>
      </c>
      <c r="J124" s="35">
        <f>IF(SmtRes!AB69=0,"",ROUND(SmtRes!AB69,2))</f>
      </c>
      <c r="K124" s="35"/>
      <c r="L124" s="35"/>
      <c r="M124" s="35">
        <f>IF(SmtRes!AA69=0,"",ROUND(SmtRes!AA69*E124,2))</f>
        <v>2.68</v>
      </c>
      <c r="N124" s="35">
        <f>IF(SmtRes!AB69=0,"",ROUND(SmtRes!AB69*E124,2))</f>
      </c>
    </row>
    <row r="125" spans="1:14" s="22" customFormat="1" ht="36">
      <c r="A125" s="35"/>
      <c r="B125" s="36" t="str">
        <f>SmtRes!I70</f>
        <v>101-0388</v>
      </c>
      <c r="C125" s="36" t="str">
        <f>SmtRes!K70</f>
        <v>Краски масляные земляные МА-0115  мумия, сурик железный</v>
      </c>
      <c r="D125" s="36" t="str">
        <f>SmtRes!O70</f>
        <v>т</v>
      </c>
      <c r="E125" s="35">
        <f>SmtRes!Y70*Source!I36</f>
        <v>7.04E-05</v>
      </c>
      <c r="F125" s="35">
        <f>SmtRes!Y70</f>
        <v>0.00011</v>
      </c>
      <c r="G125" s="35"/>
      <c r="H125" s="35"/>
      <c r="I125" s="35">
        <f>IF(SmtRes!AA70=0,"",ROUND(SmtRes!AA70,2))</f>
        <v>13884.14</v>
      </c>
      <c r="J125" s="35">
        <f>IF(SmtRes!AB70=0,"",ROUND(SmtRes!AB70,2))</f>
      </c>
      <c r="K125" s="35"/>
      <c r="L125" s="35"/>
      <c r="M125" s="35">
        <f>IF(SmtRes!AA70=0,"",ROUND(SmtRes!AA70*E125,2))</f>
        <v>0.98</v>
      </c>
      <c r="N125" s="35">
        <f>IF(SmtRes!AB70=0,"",ROUND(SmtRes!AB70*E125,2))</f>
      </c>
    </row>
    <row r="126" spans="1:14" s="22" customFormat="1" ht="24">
      <c r="A126" s="35"/>
      <c r="B126" s="36" t="str">
        <f>SmtRes!I71</f>
        <v>101-0628</v>
      </c>
      <c r="C126" s="36" t="str">
        <f>SmtRes!K71</f>
        <v>Олифа комбинированная К-3</v>
      </c>
      <c r="D126" s="36" t="str">
        <f>SmtRes!O71</f>
        <v>т</v>
      </c>
      <c r="E126" s="35">
        <f>SmtRes!Y71*Source!I36</f>
        <v>3.2000000000000005E-05</v>
      </c>
      <c r="F126" s="35">
        <f>SmtRes!Y71</f>
        <v>5E-05</v>
      </c>
      <c r="G126" s="35"/>
      <c r="H126" s="35"/>
      <c r="I126" s="35">
        <f>IF(SmtRes!AA71=0,"",ROUND(SmtRes!AA71,2))</f>
        <v>22015.32</v>
      </c>
      <c r="J126" s="35">
        <f>IF(SmtRes!AB71=0,"",ROUND(SmtRes!AB71,2))</f>
      </c>
      <c r="K126" s="35"/>
      <c r="L126" s="35"/>
      <c r="M126" s="35">
        <f>IF(SmtRes!AA71=0,"",ROUND(SmtRes!AA71*E126,2))</f>
        <v>0.7</v>
      </c>
      <c r="N126" s="35">
        <f>IF(SmtRes!AB71=0,"",ROUND(SmtRes!AB71*E126,2))</f>
      </c>
    </row>
    <row r="127" spans="1:14" s="22" customFormat="1" ht="36">
      <c r="A127" s="35"/>
      <c r="B127" s="36" t="str">
        <f>SmtRes!I72</f>
        <v>101-0807</v>
      </c>
      <c r="C127" s="36" t="str">
        <f>SmtRes!K72</f>
        <v>Проволока сварочная легированная  диаметром 4 мм</v>
      </c>
      <c r="D127" s="36" t="str">
        <f>SmtRes!O72</f>
        <v>т</v>
      </c>
      <c r="E127" s="35">
        <f>SmtRes!Y72*Source!I36</f>
        <v>0.00025600000000000004</v>
      </c>
      <c r="F127" s="35">
        <f>SmtRes!Y72</f>
        <v>0.0004</v>
      </c>
      <c r="G127" s="35"/>
      <c r="H127" s="35"/>
      <c r="I127" s="35">
        <f>IF(SmtRes!AA72=0,"",ROUND(SmtRes!AA72,2))</f>
        <v>14752.49</v>
      </c>
      <c r="J127" s="35">
        <f>IF(SmtRes!AB72=0,"",ROUND(SmtRes!AB72,2))</f>
      </c>
      <c r="K127" s="35"/>
      <c r="L127" s="35"/>
      <c r="M127" s="35">
        <f>IF(SmtRes!AA72=0,"",ROUND(SmtRes!AA72*E127,2))</f>
        <v>3.78</v>
      </c>
      <c r="N127" s="35">
        <f>IF(SmtRes!AB72=0,"",ROUND(SmtRes!AB72*E127,2))</f>
      </c>
    </row>
    <row r="128" spans="1:14" s="22" customFormat="1" ht="24">
      <c r="A128" s="35"/>
      <c r="B128" s="36" t="str">
        <f>SmtRes!I73</f>
        <v>101-1522</v>
      </c>
      <c r="C128" s="36" t="str">
        <f>SmtRes!K73</f>
        <v>Электроды диаметром 5 мм  Э42А</v>
      </c>
      <c r="D128" s="36" t="str">
        <f>SmtRes!O73</f>
        <v>т</v>
      </c>
      <c r="E128" s="35">
        <f>SmtRes!Y73*Source!I36</f>
        <v>0.001216</v>
      </c>
      <c r="F128" s="35">
        <f>SmtRes!Y73</f>
        <v>0.0019</v>
      </c>
      <c r="G128" s="35"/>
      <c r="H128" s="35"/>
      <c r="I128" s="35">
        <f>IF(SmtRes!AA73=0,"",ROUND(SmtRes!AA73,2))</f>
        <v>8975.91</v>
      </c>
      <c r="J128" s="35">
        <f>IF(SmtRes!AB73=0,"",ROUND(SmtRes!AB73,2))</f>
      </c>
      <c r="K128" s="35"/>
      <c r="L128" s="35"/>
      <c r="M128" s="35">
        <f>IF(SmtRes!AA73=0,"",ROUND(SmtRes!AA73*E128,2))</f>
        <v>10.91</v>
      </c>
      <c r="N128" s="35">
        <f>IF(SmtRes!AB73=0,"",ROUND(SmtRes!AB73*E128,2))</f>
      </c>
    </row>
    <row r="129" spans="1:14" s="22" customFormat="1" ht="24">
      <c r="A129" s="35"/>
      <c r="B129" s="36" t="str">
        <f>SmtRes!I74</f>
        <v>101-1602</v>
      </c>
      <c r="C129" s="36" t="str">
        <f>SmtRes!K74</f>
        <v>Ацетилен газообразный технический</v>
      </c>
      <c r="D129" s="36" t="str">
        <f>SmtRes!O74</f>
        <v>м3</v>
      </c>
      <c r="E129" s="35">
        <f>SmtRes!Y74*Source!I36</f>
        <v>0.1472</v>
      </c>
      <c r="F129" s="35">
        <f>SmtRes!Y74</f>
        <v>0.23</v>
      </c>
      <c r="G129" s="35"/>
      <c r="H129" s="35"/>
      <c r="I129" s="35">
        <f>IF(SmtRes!AA74=0,"",ROUND(SmtRes!AA74,2))</f>
        <v>46.97</v>
      </c>
      <c r="J129" s="35">
        <f>IF(SmtRes!AB74=0,"",ROUND(SmtRes!AB74,2))</f>
      </c>
      <c r="K129" s="35"/>
      <c r="L129" s="35"/>
      <c r="M129" s="35">
        <f>IF(SmtRes!AA74=0,"",ROUND(SmtRes!AA74*E129,2))</f>
        <v>6.91</v>
      </c>
      <c r="N129" s="35">
        <f>IF(SmtRes!AB74=0,"",ROUND(SmtRes!AB74*E129,2))</f>
      </c>
    </row>
    <row r="130" spans="1:14" s="22" customFormat="1" ht="12">
      <c r="A130" s="35"/>
      <c r="B130" s="36" t="str">
        <f>SmtRes!I75</f>
        <v>101-1669</v>
      </c>
      <c r="C130" s="36" t="str">
        <f>SmtRes!K75</f>
        <v>Очес льняной</v>
      </c>
      <c r="D130" s="36" t="str">
        <f>SmtRes!O75</f>
        <v>кг</v>
      </c>
      <c r="E130" s="35">
        <f>SmtRes!Y75*Source!I36</f>
        <v>0.032</v>
      </c>
      <c r="F130" s="35">
        <f>SmtRes!Y75</f>
        <v>0.05</v>
      </c>
      <c r="G130" s="35"/>
      <c r="H130" s="35"/>
      <c r="I130" s="35">
        <f>IF(SmtRes!AA75=0,"",ROUND(SmtRes!AA75,2))</f>
        <v>37.18</v>
      </c>
      <c r="J130" s="35">
        <f>IF(SmtRes!AB75=0,"",ROUND(SmtRes!AB75,2))</f>
      </c>
      <c r="K130" s="35"/>
      <c r="L130" s="35"/>
      <c r="M130" s="35">
        <f>IF(SmtRes!AA75=0,"",ROUND(SmtRes!AA75*E130,2))</f>
        <v>1.19</v>
      </c>
      <c r="N130" s="35">
        <f>IF(SmtRes!AB75=0,"",ROUND(SmtRes!AB75*E130,2))</f>
      </c>
    </row>
    <row r="131" spans="1:14" s="22" customFormat="1" ht="96">
      <c r="A131" s="35"/>
      <c r="B131" s="36" t="str">
        <f>SmtRes!I76</f>
        <v>300-0891</v>
      </c>
      <c r="C131" s="36" t="str">
        <f>SmtRes!K76</f>
        <v>Узлы укрупненные монтажные(трубопроводы)из стальных водо-газопроводных оцинкованных труб с гильзами для водоснабжения, диаметром, мм:40</v>
      </c>
      <c r="D131" s="36" t="str">
        <f>SmtRes!O76</f>
        <v>м</v>
      </c>
      <c r="E131" s="35">
        <f>SmtRes!Y76*Source!I36</f>
        <v>64</v>
      </c>
      <c r="F131" s="35">
        <f>SmtRes!Y76</f>
        <v>100</v>
      </c>
      <c r="G131" s="35"/>
      <c r="H131" s="35"/>
      <c r="I131" s="35">
        <f>IF(SmtRes!AA76=0,"",ROUND(SmtRes!AA76,2))</f>
        <v>71</v>
      </c>
      <c r="J131" s="35">
        <f>IF(SmtRes!AB76=0,"",ROUND(SmtRes!AB76,2))</f>
      </c>
      <c r="K131" s="35"/>
      <c r="L131" s="35"/>
      <c r="M131" s="35">
        <f>IF(SmtRes!AA76=0,"",ROUND(SmtRes!AA76*E131,2))</f>
        <v>4544</v>
      </c>
      <c r="N131" s="35">
        <f>IF(SmtRes!AB76=0,"",ROUND(SmtRes!AB76*E131,2))</f>
      </c>
    </row>
    <row r="132" spans="1:14" s="22" customFormat="1" ht="12">
      <c r="A132" s="35"/>
      <c r="B132" s="36" t="str">
        <f>SmtRes!I77</f>
        <v>300-9008</v>
      </c>
      <c r="C132" s="36" t="str">
        <f>SmtRes!K77</f>
        <v>Арматура трубопроводная</v>
      </c>
      <c r="D132" s="36" t="str">
        <f>SmtRes!O77</f>
        <v>шт.</v>
      </c>
      <c r="E132" s="35">
        <f>SmtRes!Y77*Source!I36</f>
        <v>15</v>
      </c>
      <c r="F132" s="35">
        <f>SmtRes!Y77</f>
        <v>23.4375</v>
      </c>
      <c r="G132" s="35"/>
      <c r="H132" s="35"/>
      <c r="I132" s="35">
        <f>IF(SmtRes!AA77=0,"",ROUND(SmtRes!AA77,2))</f>
        <v>20.79</v>
      </c>
      <c r="J132" s="35">
        <f>IF(SmtRes!AB77=0,"",ROUND(SmtRes!AB77,2))</f>
      </c>
      <c r="K132" s="35"/>
      <c r="L132" s="35"/>
      <c r="M132" s="35">
        <f>IF(SmtRes!AA77=0,"",ROUND(SmtRes!AA77*E132,2))</f>
        <v>311.85</v>
      </c>
      <c r="N132" s="35">
        <f>IF(SmtRes!AB77=0,"",ROUND(SmtRes!AB77*E132,2))</f>
      </c>
    </row>
    <row r="133" spans="1:14" s="22" customFormat="1" ht="12">
      <c r="A133" s="33"/>
      <c r="B133" s="34" t="str">
        <f>SmtRes!I78</f>
        <v>300-9240</v>
      </c>
      <c r="C133" s="34" t="str">
        <f>SmtRes!K78</f>
        <v>Крепления</v>
      </c>
      <c r="D133" s="34" t="str">
        <f>SmtRes!O78</f>
        <v>кг</v>
      </c>
      <c r="E133" s="33">
        <f>SmtRes!Y78*Source!I36</f>
        <v>30</v>
      </c>
      <c r="F133" s="33">
        <f>SmtRes!Y78</f>
        <v>46.875</v>
      </c>
      <c r="G133" s="33"/>
      <c r="H133" s="33"/>
      <c r="I133" s="33">
        <f>IF(SmtRes!AA78=0,"",ROUND(SmtRes!AA78,2))</f>
        <v>11.98</v>
      </c>
      <c r="J133" s="33">
        <f>IF(SmtRes!AB78=0,"",ROUND(SmtRes!AB78,2))</f>
      </c>
      <c r="K133" s="33"/>
      <c r="L133" s="33"/>
      <c r="M133" s="33">
        <f>IF(SmtRes!AA78=0,"",ROUND(SmtRes!AA78*E133,2))</f>
        <v>359.4</v>
      </c>
      <c r="N133" s="33">
        <f>IF(SmtRes!AB78=0,"",ROUND(SmtRes!AB78*E133,2))</f>
      </c>
    </row>
    <row r="134" spans="1:14" ht="6" customHeight="1">
      <c r="A134" s="42"/>
      <c r="N134" s="43"/>
    </row>
    <row r="135" spans="1:14" ht="15">
      <c r="A135" s="45"/>
      <c r="B135" s="10"/>
      <c r="C135" s="44" t="s">
        <v>404</v>
      </c>
      <c r="D135" s="7"/>
      <c r="E135" s="7"/>
      <c r="F135" s="7"/>
      <c r="G135" s="7"/>
      <c r="H135" s="7"/>
      <c r="I135" s="7"/>
      <c r="J135" s="7"/>
      <c r="K135" s="7">
        <f>IF(Source!F48=0,"-",ROUND(Source!F48,2))</f>
        <v>1711.94</v>
      </c>
      <c r="L135" s="7">
        <f>IF(Source!F49=0,"-",ROUND(Source!F49,2))</f>
        <v>25.57</v>
      </c>
      <c r="M135" s="7">
        <f>IF(Source!F43=0,"-",ROUND(Source!F43,2))</f>
        <v>91816.1</v>
      </c>
      <c r="N135" s="46">
        <f>IF(Source!F44=0,"-",ROUND(Source!F44,2))</f>
        <v>2540.58</v>
      </c>
    </row>
    <row r="136" spans="1:14" ht="15">
      <c r="A136" s="45"/>
      <c r="B136" s="10"/>
      <c r="C136" s="10"/>
      <c r="D136" s="7"/>
      <c r="E136" s="7"/>
      <c r="F136" s="7"/>
      <c r="G136" s="48"/>
      <c r="H136" s="7"/>
      <c r="I136" s="7"/>
      <c r="J136" s="7"/>
      <c r="K136" s="7"/>
      <c r="L136" s="7"/>
      <c r="M136" s="7"/>
      <c r="N136" s="46"/>
    </row>
    <row r="137" spans="1:14" ht="12.75">
      <c r="A137" s="17"/>
      <c r="C137" s="5" t="str">
        <f>Source!H53</f>
        <v>Итого прямые затраты</v>
      </c>
      <c r="G137" s="49">
        <f>ROUND(Source!F53,0)</f>
        <v>108803</v>
      </c>
      <c r="N137" s="18"/>
    </row>
    <row r="138" spans="1:14" ht="12.75">
      <c r="A138" s="17"/>
      <c r="C138" s="5" t="str">
        <f>Source!H54</f>
        <v>Накладные расходы</v>
      </c>
      <c r="G138" s="49">
        <f>ROUND(Source!F54,0)</f>
        <v>15567</v>
      </c>
      <c r="N138" s="18"/>
    </row>
    <row r="139" spans="1:14" ht="12.75">
      <c r="A139" s="17"/>
      <c r="C139" s="5" t="str">
        <f>Source!H55</f>
        <v>Сметная прибыль</v>
      </c>
      <c r="G139" s="49">
        <f>ROUND(Source!F55,0)</f>
        <v>9544</v>
      </c>
      <c r="N139" s="18"/>
    </row>
    <row r="140" spans="1:14" ht="12.75">
      <c r="A140" s="17"/>
      <c r="C140" s="5" t="str">
        <f>Source!H56</f>
        <v>Итого</v>
      </c>
      <c r="G140" s="49">
        <f>ROUND(Source!F56,0)</f>
        <v>133914</v>
      </c>
      <c r="N140" s="18"/>
    </row>
    <row r="141" spans="1:14" ht="12.75">
      <c r="A141" s="17"/>
      <c r="C141" s="5" t="s">
        <v>425</v>
      </c>
      <c r="G141" s="49"/>
      <c r="N141" s="18"/>
    </row>
    <row r="142" spans="1:14" ht="12.75">
      <c r="A142" s="17"/>
      <c r="B142" s="23"/>
      <c r="C142" s="23" t="s">
        <v>426</v>
      </c>
      <c r="D142" s="23"/>
      <c r="E142" s="23"/>
      <c r="F142" s="23"/>
      <c r="G142" s="50">
        <f>+G140*3.54</f>
        <v>474055.56</v>
      </c>
      <c r="H142" s="23"/>
      <c r="I142" s="23"/>
      <c r="J142" s="23"/>
      <c r="K142" s="23"/>
      <c r="L142" s="23"/>
      <c r="M142" s="23"/>
      <c r="N142" s="18"/>
    </row>
    <row r="143" spans="1:14" ht="12.75">
      <c r="A143" s="17"/>
      <c r="B143" s="23"/>
      <c r="C143" s="23" t="s">
        <v>411</v>
      </c>
      <c r="D143" s="23"/>
      <c r="E143" s="23"/>
      <c r="F143" s="23"/>
      <c r="G143" s="50">
        <f>+G142*0.015</f>
        <v>7110.8333999999995</v>
      </c>
      <c r="H143" s="23"/>
      <c r="I143" s="23"/>
      <c r="J143" s="23"/>
      <c r="K143" s="23"/>
      <c r="L143" s="23"/>
      <c r="M143" s="23"/>
      <c r="N143" s="18"/>
    </row>
    <row r="144" spans="1:14" ht="12.75">
      <c r="A144" s="17"/>
      <c r="B144" s="23"/>
      <c r="C144" s="23" t="s">
        <v>115</v>
      </c>
      <c r="D144" s="23"/>
      <c r="E144" s="23"/>
      <c r="F144" s="23"/>
      <c r="G144" s="50">
        <f>+G142+G143</f>
        <v>481166.3934</v>
      </c>
      <c r="H144" s="23"/>
      <c r="I144" s="23"/>
      <c r="J144" s="23"/>
      <c r="K144" s="23"/>
      <c r="L144" s="23"/>
      <c r="M144" s="23"/>
      <c r="N144" s="18"/>
    </row>
    <row r="145" spans="1:14" ht="12.75">
      <c r="A145" s="17"/>
      <c r="B145" s="23"/>
      <c r="C145" s="23" t="s">
        <v>407</v>
      </c>
      <c r="D145" s="23"/>
      <c r="E145" s="23"/>
      <c r="F145" s="23"/>
      <c r="G145" s="50">
        <f>+G144*0.18</f>
        <v>86609.950812</v>
      </c>
      <c r="H145" s="23"/>
      <c r="I145" s="23"/>
      <c r="J145" s="23"/>
      <c r="K145" s="23"/>
      <c r="L145" s="23"/>
      <c r="M145" s="23"/>
      <c r="N145" s="18"/>
    </row>
    <row r="146" spans="1:14" ht="15">
      <c r="A146" s="17"/>
      <c r="B146" s="23"/>
      <c r="C146" s="47" t="s">
        <v>408</v>
      </c>
      <c r="D146" s="47"/>
      <c r="E146" s="47"/>
      <c r="F146" s="47"/>
      <c r="G146" s="51">
        <f>+G144+G145</f>
        <v>567776.344212</v>
      </c>
      <c r="H146" s="47"/>
      <c r="I146" s="47"/>
      <c r="J146" s="23"/>
      <c r="K146" s="23"/>
      <c r="L146" s="23"/>
      <c r="M146" s="23"/>
      <c r="N146" s="18"/>
    </row>
    <row r="147" spans="1:14" ht="12.75">
      <c r="A147" s="17"/>
      <c r="B147" s="23"/>
      <c r="C147" s="23"/>
      <c r="D147" s="23"/>
      <c r="E147" s="23"/>
      <c r="F147" s="23"/>
      <c r="G147" s="50"/>
      <c r="H147" s="23"/>
      <c r="I147" s="23"/>
      <c r="J147" s="23"/>
      <c r="K147" s="23"/>
      <c r="L147" s="23"/>
      <c r="M147" s="23"/>
      <c r="N147" s="18"/>
    </row>
    <row r="148" spans="1:14" ht="12.75">
      <c r="A148" s="17"/>
      <c r="B148" s="23"/>
      <c r="C148" s="23" t="s">
        <v>405</v>
      </c>
      <c r="D148" s="23"/>
      <c r="E148" s="24">
        <f>Source!R12</f>
      </c>
      <c r="F148" s="23">
        <f>IF(Source!AO12&lt;&gt;"",CONCATENATE(" /",Source!AO12,"/"),"")</f>
      </c>
      <c r="G148" s="23" t="s">
        <v>423</v>
      </c>
      <c r="H148" s="23"/>
      <c r="I148" s="23"/>
      <c r="J148" s="23"/>
      <c r="K148" s="23"/>
      <c r="L148" s="23"/>
      <c r="M148" s="23"/>
      <c r="N148" s="18"/>
    </row>
    <row r="149" spans="1:14" ht="12.75">
      <c r="A149" s="17"/>
      <c r="B149" s="23"/>
      <c r="C149" s="23"/>
      <c r="D149" s="23"/>
      <c r="E149" s="24"/>
      <c r="F149" s="23"/>
      <c r="G149" s="23"/>
      <c r="H149" s="23"/>
      <c r="I149" s="23"/>
      <c r="J149" s="23"/>
      <c r="K149" s="23"/>
      <c r="L149" s="23"/>
      <c r="M149" s="23"/>
      <c r="N149" s="18"/>
    </row>
    <row r="150" spans="1:14" ht="12.75">
      <c r="A150" s="17"/>
      <c r="B150" s="23"/>
      <c r="C150" s="23" t="s">
        <v>406</v>
      </c>
      <c r="D150" s="23"/>
      <c r="E150" s="24">
        <f>Source!S12</f>
      </c>
      <c r="F150" s="23">
        <f>IF(Source!AP12&lt;&gt;"",CONCATENATE(" /",Source!AP12,"/"),"")</f>
      </c>
      <c r="G150" s="23" t="s">
        <v>424</v>
      </c>
      <c r="H150" s="23"/>
      <c r="I150" s="23"/>
      <c r="J150" s="23"/>
      <c r="K150" s="23"/>
      <c r="L150" s="23"/>
      <c r="M150" s="23"/>
      <c r="N150" s="18"/>
    </row>
    <row r="151" spans="1:14" ht="12.75">
      <c r="A151" s="3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9"/>
    </row>
  </sheetData>
  <mergeCells count="33">
    <mergeCell ref="A16:N16"/>
    <mergeCell ref="A17:N17"/>
    <mergeCell ref="J10:N10"/>
    <mergeCell ref="J11:N11"/>
    <mergeCell ref="A10:E10"/>
    <mergeCell ref="E21:E22"/>
    <mergeCell ref="F21:F22"/>
    <mergeCell ref="G21:J21"/>
    <mergeCell ref="K21:N21"/>
    <mergeCell ref="A21:A22"/>
    <mergeCell ref="B21:B22"/>
    <mergeCell ref="C21:C22"/>
    <mergeCell ref="D21:D22"/>
    <mergeCell ref="A30:N30"/>
    <mergeCell ref="A32:N32"/>
    <mergeCell ref="A37:N37"/>
    <mergeCell ref="A40:N40"/>
    <mergeCell ref="A85:N85"/>
    <mergeCell ref="A87:N87"/>
    <mergeCell ref="A47:N47"/>
    <mergeCell ref="A50:N50"/>
    <mergeCell ref="A58:N58"/>
    <mergeCell ref="A62:N62"/>
    <mergeCell ref="A118:N118"/>
    <mergeCell ref="A123:N123"/>
    <mergeCell ref="A11:E11"/>
    <mergeCell ref="C18:K18"/>
    <mergeCell ref="A92:N92"/>
    <mergeCell ref="A96:N96"/>
    <mergeCell ref="A107:N107"/>
    <mergeCell ref="A109:N109"/>
    <mergeCell ref="A75:N75"/>
    <mergeCell ref="A79:N79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scale="99" r:id="rId1"/>
  <rowBreaks count="1" manualBreakCount="1"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119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23048</v>
      </c>
    </row>
    <row r="12" spans="1:103" ht="12.75">
      <c r="A12" s="1">
        <v>1</v>
      </c>
      <c r="B12" s="1">
        <v>1</v>
      </c>
      <c r="C12" s="1">
        <v>0</v>
      </c>
      <c r="D12" s="1">
        <f>ROW(A58)</f>
        <v>58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>
        <v>0</v>
      </c>
      <c r="Q12" s="1">
        <v>0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-1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4646659</v>
      </c>
      <c r="BE12" s="1" t="s">
        <v>7</v>
      </c>
      <c r="BF12" s="1" t="s">
        <v>8</v>
      </c>
      <c r="BG12" s="1">
        <v>3446727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4064028</v>
      </c>
      <c r="CB12" s="1">
        <v>4064022</v>
      </c>
      <c r="CC12" s="1">
        <v>4064020</v>
      </c>
      <c r="CD12" s="1">
        <v>4064018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3">
        <v>52</v>
      </c>
      <c r="B18" s="3">
        <f aca="true" t="shared" si="0" ref="B18:AM18">B58</f>
        <v>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Ремонтные работы по МОУ Правдинская СОШ в п.Дивный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108802.7</v>
      </c>
      <c r="P18" s="3">
        <f t="shared" si="0"/>
        <v>91816.1</v>
      </c>
      <c r="Q18" s="3">
        <f t="shared" si="0"/>
        <v>2540.58</v>
      </c>
      <c r="R18" s="3">
        <f t="shared" si="0"/>
        <v>320.26</v>
      </c>
      <c r="S18" s="3">
        <f t="shared" si="0"/>
        <v>14446.02</v>
      </c>
      <c r="T18" s="3">
        <f t="shared" si="0"/>
        <v>0</v>
      </c>
      <c r="U18" s="3">
        <f t="shared" si="0"/>
        <v>1711.94</v>
      </c>
      <c r="V18" s="3">
        <f t="shared" si="0"/>
        <v>25.57</v>
      </c>
      <c r="W18" s="3">
        <f t="shared" si="0"/>
        <v>0</v>
      </c>
      <c r="X18" s="3">
        <f t="shared" si="0"/>
        <v>15566.65</v>
      </c>
      <c r="Y18" s="3">
        <f t="shared" si="0"/>
        <v>9543.92</v>
      </c>
      <c r="Z18" s="3">
        <f t="shared" si="0"/>
        <v>0</v>
      </c>
      <c r="AA18" s="3">
        <f t="shared" si="0"/>
        <v>0</v>
      </c>
      <c r="AB18" s="3">
        <f t="shared" si="0"/>
        <v>0</v>
      </c>
      <c r="AC18" s="3">
        <f t="shared" si="0"/>
        <v>0</v>
      </c>
      <c r="AD18" s="3">
        <f t="shared" si="0"/>
        <v>0</v>
      </c>
      <c r="AE18" s="3">
        <f t="shared" si="0"/>
        <v>0</v>
      </c>
      <c r="AF18" s="3">
        <f t="shared" si="0"/>
        <v>0</v>
      </c>
      <c r="AG18" s="3">
        <f t="shared" si="0"/>
        <v>0</v>
      </c>
      <c r="AH18" s="3">
        <f t="shared" si="0"/>
        <v>0</v>
      </c>
      <c r="AI18" s="3">
        <f t="shared" si="0"/>
        <v>0</v>
      </c>
      <c r="AJ18" s="3">
        <f t="shared" si="0"/>
        <v>0</v>
      </c>
      <c r="AK18" s="3">
        <f t="shared" si="0"/>
        <v>0</v>
      </c>
      <c r="AL18" s="3">
        <f t="shared" si="0"/>
        <v>0</v>
      </c>
      <c r="AM18" s="3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ROW(A40)</f>
        <v>40</v>
      </c>
      <c r="E20" s="1"/>
      <c r="F20" s="1" t="s">
        <v>13</v>
      </c>
      <c r="G20" s="1" t="s">
        <v>13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3">
        <v>52</v>
      </c>
      <c r="B22" s="3">
        <f aca="true" t="shared" si="1" ref="B22:AM22">B40</f>
        <v>1</v>
      </c>
      <c r="C22" s="3">
        <f t="shared" si="1"/>
        <v>3</v>
      </c>
      <c r="D22" s="3">
        <f t="shared" si="1"/>
        <v>20</v>
      </c>
      <c r="E22" s="3">
        <f t="shared" si="1"/>
        <v>0</v>
      </c>
      <c r="F22" s="3" t="str">
        <f t="shared" si="1"/>
        <v>Новая локальная смета</v>
      </c>
      <c r="G22" s="3" t="str">
        <f t="shared" si="1"/>
        <v>Новая локальная смета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108802.7</v>
      </c>
      <c r="P22" s="3">
        <f t="shared" si="1"/>
        <v>91816.1</v>
      </c>
      <c r="Q22" s="3">
        <f t="shared" si="1"/>
        <v>2540.58</v>
      </c>
      <c r="R22" s="3">
        <f t="shared" si="1"/>
        <v>320.26</v>
      </c>
      <c r="S22" s="3">
        <f t="shared" si="1"/>
        <v>14446.02</v>
      </c>
      <c r="T22" s="3">
        <f t="shared" si="1"/>
        <v>0</v>
      </c>
      <c r="U22" s="3">
        <f t="shared" si="1"/>
        <v>1711.94</v>
      </c>
      <c r="V22" s="3">
        <f t="shared" si="1"/>
        <v>25.57</v>
      </c>
      <c r="W22" s="3">
        <f t="shared" si="1"/>
        <v>0</v>
      </c>
      <c r="X22" s="3">
        <f t="shared" si="1"/>
        <v>15566.65</v>
      </c>
      <c r="Y22" s="3">
        <f t="shared" si="1"/>
        <v>9543.92</v>
      </c>
      <c r="Z22" s="3">
        <f t="shared" si="1"/>
        <v>0</v>
      </c>
      <c r="AA22" s="3">
        <f t="shared" si="1"/>
        <v>0</v>
      </c>
      <c r="AB22" s="3">
        <f t="shared" si="1"/>
        <v>108802.7</v>
      </c>
      <c r="AC22" s="3">
        <f t="shared" si="1"/>
        <v>91816.1</v>
      </c>
      <c r="AD22" s="3">
        <f t="shared" si="1"/>
        <v>2540.58</v>
      </c>
      <c r="AE22" s="3">
        <f t="shared" si="1"/>
        <v>320.26</v>
      </c>
      <c r="AF22" s="3">
        <f t="shared" si="1"/>
        <v>14446.02</v>
      </c>
      <c r="AG22" s="3">
        <f t="shared" si="1"/>
        <v>0</v>
      </c>
      <c r="AH22" s="3">
        <f t="shared" si="1"/>
        <v>1711.94</v>
      </c>
      <c r="AI22" s="3">
        <f t="shared" si="1"/>
        <v>25.57</v>
      </c>
      <c r="AJ22" s="3">
        <f t="shared" si="1"/>
        <v>0</v>
      </c>
      <c r="AK22" s="3">
        <f t="shared" si="1"/>
        <v>15566.65</v>
      </c>
      <c r="AL22" s="3">
        <f t="shared" si="1"/>
        <v>9543.92</v>
      </c>
      <c r="AM22" s="3">
        <f t="shared" si="1"/>
        <v>0</v>
      </c>
    </row>
    <row r="24" spans="1:128" ht="12.75">
      <c r="A24">
        <v>19</v>
      </c>
      <c r="B24">
        <v>1</v>
      </c>
      <c r="G24" t="s">
        <v>15</v>
      </c>
      <c r="AA24">
        <v>1</v>
      </c>
      <c r="DX24">
        <v>0</v>
      </c>
    </row>
    <row r="25" spans="1:151" ht="12.75">
      <c r="A25">
        <v>17</v>
      </c>
      <c r="B25">
        <v>1</v>
      </c>
      <c r="C25">
        <f>ROW(SmtRes!A3)</f>
        <v>3</v>
      </c>
      <c r="E25">
        <v>1</v>
      </c>
      <c r="F25" t="s">
        <v>16</v>
      </c>
      <c r="G25" t="s">
        <v>17</v>
      </c>
      <c r="H25" t="s">
        <v>18</v>
      </c>
      <c r="I25">
        <v>18.1</v>
      </c>
      <c r="J25">
        <v>0</v>
      </c>
      <c r="O25">
        <f aca="true" t="shared" si="2" ref="O25:O33">ROUND(CP25,2)</f>
        <v>3470.68</v>
      </c>
      <c r="P25">
        <f aca="true" t="shared" si="3" ref="P25:P33">ROUND(CQ25*I25,2)</f>
        <v>0</v>
      </c>
      <c r="Q25">
        <f aca="true" t="shared" si="4" ref="Q25:Q33">ROUND(CR25*I25,2)</f>
        <v>31.68</v>
      </c>
      <c r="R25">
        <f aca="true" t="shared" si="5" ref="R25:R33">ROUND(CS25*I25,2)</f>
        <v>0</v>
      </c>
      <c r="S25">
        <f aca="true" t="shared" si="6" ref="S25:S33">ROUND(CT25*I25,2)</f>
        <v>3439</v>
      </c>
      <c r="T25">
        <f aca="true" t="shared" si="7" ref="T25:T33">ROUND(CU25*I25,2)</f>
        <v>0</v>
      </c>
      <c r="U25">
        <f aca="true" t="shared" si="8" ref="U25:U33">ROUND(CV25*I25,2)</f>
        <v>441.46</v>
      </c>
      <c r="V25">
        <f aca="true" t="shared" si="9" ref="V25:V33">ROUND(CW25*I25,2)</f>
        <v>0</v>
      </c>
      <c r="W25">
        <f aca="true" t="shared" si="10" ref="W25:W33">ROUND(CX25*I25,2)</f>
        <v>0</v>
      </c>
      <c r="X25">
        <f aca="true" t="shared" si="11" ref="X25:X33">ROUND(CY25,2)</f>
        <v>2854.37</v>
      </c>
      <c r="Y25">
        <f aca="true" t="shared" si="12" ref="Y25:Y33">ROUND(CZ25,2)</f>
        <v>2235.35</v>
      </c>
      <c r="AA25">
        <v>0</v>
      </c>
      <c r="AB25">
        <f aca="true" t="shared" si="13" ref="AB25:AB33">(AC25+AD25+AF25)</f>
        <v>191.75</v>
      </c>
      <c r="AC25">
        <f aca="true" t="shared" si="14" ref="AC25:AD31">AL25</f>
        <v>0</v>
      </c>
      <c r="AD25">
        <f t="shared" si="14"/>
        <v>1.75</v>
      </c>
      <c r="AE25">
        <f aca="true" t="shared" si="15" ref="AE25:AF27">(AN25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25">
        <f t="shared" si="15"/>
        <v>190</v>
      </c>
      <c r="AG25">
        <f aca="true" t="shared" si="16" ref="AG25:AG33">AP25</f>
        <v>0</v>
      </c>
      <c r="AH25">
        <f aca="true" t="shared" si="17" ref="AH25:AI27">(AQ25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24.39</v>
      </c>
      <c r="AI25">
        <f t="shared" si="17"/>
        <v>0</v>
      </c>
      <c r="AJ25">
        <f aca="true" t="shared" si="18" ref="AJ25:AJ33">AS25</f>
        <v>0</v>
      </c>
      <c r="AK25">
        <v>191.75</v>
      </c>
      <c r="AL25">
        <v>0</v>
      </c>
      <c r="AM25">
        <v>1.75</v>
      </c>
      <c r="AN25">
        <v>0</v>
      </c>
      <c r="AO25">
        <v>190</v>
      </c>
      <c r="AP25">
        <v>0</v>
      </c>
      <c r="AQ25">
        <v>24.39</v>
      </c>
      <c r="AR25">
        <v>0</v>
      </c>
      <c r="AS25">
        <v>0</v>
      </c>
      <c r="AT25">
        <v>83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19</v>
      </c>
      <c r="BM25">
        <v>218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O25">
        <v>0</v>
      </c>
      <c r="CP25">
        <f aca="true" t="shared" si="19" ref="CP25:CP33">(P25+Q25+S25)</f>
        <v>3470.68</v>
      </c>
      <c r="CQ25">
        <f aca="true" t="shared" si="20" ref="CQ25:CQ33">(AC25)*BC25</f>
        <v>0</v>
      </c>
      <c r="CR25">
        <f aca="true" t="shared" si="21" ref="CR25:CR33">(AD25)*BB25</f>
        <v>1.75</v>
      </c>
      <c r="CS25">
        <f aca="true" t="shared" si="22" ref="CS25:CS33">(AE25)*BS25</f>
        <v>0</v>
      </c>
      <c r="CT25">
        <f aca="true" t="shared" si="23" ref="CT25:CT33">(AF25)*BA25</f>
        <v>190</v>
      </c>
      <c r="CU25">
        <f aca="true" t="shared" si="24" ref="CU25:CU33">(AG25)*BT25</f>
        <v>0</v>
      </c>
      <c r="CV25">
        <f aca="true" t="shared" si="25" ref="CV25:CV33">(AH25)*BU25</f>
        <v>24.39</v>
      </c>
      <c r="CW25">
        <f aca="true" t="shared" si="26" ref="CW25:CW33">(AI25)*BV25</f>
        <v>0</v>
      </c>
      <c r="CX25">
        <f aca="true" t="shared" si="27" ref="CX25:CX33">(AJ25)*BW25</f>
        <v>0</v>
      </c>
      <c r="CY25">
        <f>((((S25+R25)*AT25)/100)*IF((1=1),1,0.6)*IF((0=0),1,1.2)*IF((1=1),1,0.7))</f>
        <v>2854.37</v>
      </c>
      <c r="CZ25">
        <f>((((S25+R25)*AU25)/100)*IF((1=1),1,0.9))</f>
        <v>2235.35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18</v>
      </c>
      <c r="DW25" t="s">
        <v>20</v>
      </c>
      <c r="DX25">
        <v>100</v>
      </c>
      <c r="EE25">
        <v>4020402</v>
      </c>
      <c r="EF25">
        <v>6</v>
      </c>
      <c r="EG25" t="s">
        <v>21</v>
      </c>
      <c r="EH25">
        <v>17</v>
      </c>
      <c r="EI25" t="s">
        <v>22</v>
      </c>
      <c r="EJ25">
        <v>1</v>
      </c>
      <c r="EK25">
        <v>218</v>
      </c>
      <c r="EL25" t="s">
        <v>23</v>
      </c>
      <c r="EM25" t="s">
        <v>24</v>
      </c>
      <c r="ET25">
        <v>18.1</v>
      </c>
      <c r="EU25">
        <v>2</v>
      </c>
    </row>
    <row r="26" spans="1:151" ht="12.75">
      <c r="A26">
        <v>17</v>
      </c>
      <c r="B26">
        <v>1</v>
      </c>
      <c r="C26">
        <f>ROW(SmtRes!A10)</f>
        <v>10</v>
      </c>
      <c r="E26">
        <v>2</v>
      </c>
      <c r="F26" t="s">
        <v>26</v>
      </c>
      <c r="G26" t="s">
        <v>27</v>
      </c>
      <c r="H26" t="s">
        <v>18</v>
      </c>
      <c r="I26">
        <v>0.6</v>
      </c>
      <c r="J26">
        <v>0</v>
      </c>
      <c r="O26">
        <f t="shared" si="2"/>
        <v>1137.24</v>
      </c>
      <c r="P26">
        <f t="shared" si="3"/>
        <v>816.54</v>
      </c>
      <c r="Q26">
        <f t="shared" si="4"/>
        <v>10.86</v>
      </c>
      <c r="R26">
        <f t="shared" si="5"/>
        <v>1.99</v>
      </c>
      <c r="S26">
        <f t="shared" si="6"/>
        <v>309.84</v>
      </c>
      <c r="T26">
        <f t="shared" si="7"/>
        <v>0</v>
      </c>
      <c r="U26">
        <f t="shared" si="8"/>
        <v>39.07</v>
      </c>
      <c r="V26">
        <f t="shared" si="9"/>
        <v>0.17</v>
      </c>
      <c r="W26">
        <f t="shared" si="10"/>
        <v>0</v>
      </c>
      <c r="X26">
        <f t="shared" si="11"/>
        <v>258.82</v>
      </c>
      <c r="Y26">
        <f t="shared" si="12"/>
        <v>202.69</v>
      </c>
      <c r="AA26">
        <v>0</v>
      </c>
      <c r="AB26">
        <f t="shared" si="13"/>
        <v>1895.4</v>
      </c>
      <c r="AC26">
        <f t="shared" si="14"/>
        <v>1360.9</v>
      </c>
      <c r="AD26">
        <f t="shared" si="14"/>
        <v>18.1</v>
      </c>
      <c r="AE26">
        <f t="shared" si="15"/>
        <v>3.31</v>
      </c>
      <c r="AF26">
        <f t="shared" si="15"/>
        <v>516.4</v>
      </c>
      <c r="AG26">
        <f t="shared" si="16"/>
        <v>0</v>
      </c>
      <c r="AH26">
        <f t="shared" si="17"/>
        <v>65.12</v>
      </c>
      <c r="AI26">
        <f t="shared" si="17"/>
        <v>0.28</v>
      </c>
      <c r="AJ26">
        <f t="shared" si="18"/>
        <v>0</v>
      </c>
      <c r="AK26">
        <v>1895.4</v>
      </c>
      <c r="AL26">
        <v>1360.9</v>
      </c>
      <c r="AM26">
        <v>18.1</v>
      </c>
      <c r="AN26">
        <v>3.31</v>
      </c>
      <c r="AO26">
        <v>516.4</v>
      </c>
      <c r="AP26">
        <v>0</v>
      </c>
      <c r="AQ26">
        <v>65.12</v>
      </c>
      <c r="AR26">
        <v>0.28</v>
      </c>
      <c r="AS26">
        <v>0</v>
      </c>
      <c r="AT26">
        <v>83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28</v>
      </c>
      <c r="BM26">
        <v>218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9"/>
        <v>1137.24</v>
      </c>
      <c r="CQ26">
        <f t="shared" si="20"/>
        <v>1360.9</v>
      </c>
      <c r="CR26">
        <f t="shared" si="21"/>
        <v>18.1</v>
      </c>
      <c r="CS26">
        <f t="shared" si="22"/>
        <v>3.31</v>
      </c>
      <c r="CT26">
        <f t="shared" si="23"/>
        <v>516.4</v>
      </c>
      <c r="CU26">
        <f t="shared" si="24"/>
        <v>0</v>
      </c>
      <c r="CV26">
        <f t="shared" si="25"/>
        <v>65.12</v>
      </c>
      <c r="CW26">
        <f t="shared" si="26"/>
        <v>0.28</v>
      </c>
      <c r="CX26">
        <f t="shared" si="27"/>
        <v>0</v>
      </c>
      <c r="CY26">
        <f>((((S26+R26)*AT26)/100)*IF((1=1),1,0.6)*IF((0=0),1,1.2)*IF((1=1),1,0.7))</f>
        <v>258.8189</v>
      </c>
      <c r="CZ26">
        <f>((((S26+R26)*AU26)/100)*IF((1=1),1,0.9))</f>
        <v>202.6895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18</v>
      </c>
      <c r="DW26" t="s">
        <v>29</v>
      </c>
      <c r="DX26">
        <v>100</v>
      </c>
      <c r="EE26">
        <v>4020402</v>
      </c>
      <c r="EF26">
        <v>6</v>
      </c>
      <c r="EG26" t="s">
        <v>21</v>
      </c>
      <c r="EH26">
        <v>17</v>
      </c>
      <c r="EI26" t="s">
        <v>22</v>
      </c>
      <c r="EJ26">
        <v>1</v>
      </c>
      <c r="EK26">
        <v>218</v>
      </c>
      <c r="EL26" t="s">
        <v>23</v>
      </c>
      <c r="EM26" t="s">
        <v>24</v>
      </c>
      <c r="ET26">
        <v>0.6</v>
      </c>
      <c r="EU26">
        <v>2</v>
      </c>
    </row>
    <row r="27" spans="1:151" ht="12.75">
      <c r="A27">
        <v>17</v>
      </c>
      <c r="B27">
        <v>1</v>
      </c>
      <c r="C27">
        <f>ROW(SmtRes!A18)</f>
        <v>18</v>
      </c>
      <c r="E27">
        <v>4</v>
      </c>
      <c r="F27" t="s">
        <v>30</v>
      </c>
      <c r="G27" t="s">
        <v>31</v>
      </c>
      <c r="H27" t="s">
        <v>32</v>
      </c>
      <c r="I27">
        <v>1.8</v>
      </c>
      <c r="J27">
        <v>0</v>
      </c>
      <c r="O27">
        <f t="shared" si="2"/>
        <v>8283.62</v>
      </c>
      <c r="P27">
        <f t="shared" si="3"/>
        <v>7304.17</v>
      </c>
      <c r="Q27">
        <f t="shared" si="4"/>
        <v>9.92</v>
      </c>
      <c r="R27">
        <f t="shared" si="5"/>
        <v>2.77</v>
      </c>
      <c r="S27">
        <f t="shared" si="6"/>
        <v>969.53</v>
      </c>
      <c r="T27">
        <f t="shared" si="7"/>
        <v>0</v>
      </c>
      <c r="U27">
        <f t="shared" si="8"/>
        <v>113.8</v>
      </c>
      <c r="V27">
        <f t="shared" si="9"/>
        <v>0.36</v>
      </c>
      <c r="W27">
        <f t="shared" si="10"/>
        <v>0</v>
      </c>
      <c r="X27">
        <f t="shared" si="11"/>
        <v>807.01</v>
      </c>
      <c r="Y27">
        <f t="shared" si="12"/>
        <v>632</v>
      </c>
      <c r="AA27">
        <v>0</v>
      </c>
      <c r="AB27">
        <f t="shared" si="13"/>
        <v>4602.01</v>
      </c>
      <c r="AC27">
        <f t="shared" si="14"/>
        <v>4057.87</v>
      </c>
      <c r="AD27">
        <f t="shared" si="14"/>
        <v>5.51</v>
      </c>
      <c r="AE27">
        <f t="shared" si="15"/>
        <v>1.54</v>
      </c>
      <c r="AF27">
        <f t="shared" si="15"/>
        <v>538.63</v>
      </c>
      <c r="AG27">
        <f t="shared" si="16"/>
        <v>0</v>
      </c>
      <c r="AH27">
        <f t="shared" si="17"/>
        <v>63.22</v>
      </c>
      <c r="AI27">
        <f t="shared" si="17"/>
        <v>0.2</v>
      </c>
      <c r="AJ27">
        <f t="shared" si="18"/>
        <v>0</v>
      </c>
      <c r="AK27">
        <v>4602.01</v>
      </c>
      <c r="AL27">
        <v>4057.87</v>
      </c>
      <c r="AM27">
        <v>5.51</v>
      </c>
      <c r="AN27">
        <v>1.54</v>
      </c>
      <c r="AO27">
        <v>538.63</v>
      </c>
      <c r="AP27">
        <v>0</v>
      </c>
      <c r="AQ27">
        <v>63.22</v>
      </c>
      <c r="AR27">
        <v>0.2</v>
      </c>
      <c r="AS27">
        <v>0</v>
      </c>
      <c r="AT27">
        <v>83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33</v>
      </c>
      <c r="BM27">
        <v>218</v>
      </c>
      <c r="BN27">
        <v>0</v>
      </c>
      <c r="BP27">
        <v>0</v>
      </c>
      <c r="BQ27">
        <v>6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O27">
        <v>0</v>
      </c>
      <c r="CP27">
        <f t="shared" si="19"/>
        <v>8283.62</v>
      </c>
      <c r="CQ27">
        <f t="shared" si="20"/>
        <v>4057.87</v>
      </c>
      <c r="CR27">
        <f t="shared" si="21"/>
        <v>5.51</v>
      </c>
      <c r="CS27">
        <f t="shared" si="22"/>
        <v>1.54</v>
      </c>
      <c r="CT27">
        <f t="shared" si="23"/>
        <v>538.63</v>
      </c>
      <c r="CU27">
        <f t="shared" si="24"/>
        <v>0</v>
      </c>
      <c r="CV27">
        <f t="shared" si="25"/>
        <v>63.22</v>
      </c>
      <c r="CW27">
        <f t="shared" si="26"/>
        <v>0.2</v>
      </c>
      <c r="CX27">
        <f t="shared" si="27"/>
        <v>0</v>
      </c>
      <c r="CY27">
        <f>((((S27+R27)*AT27)/100)*IF((1=1),1,0.6)*IF((0=0),1,1.2)*IF((1=1),1,0.7))</f>
        <v>807.0089999999999</v>
      </c>
      <c r="CZ27">
        <f>((((S27+R27)*AU27)/100)*IF((1=1),1,0.9))</f>
        <v>631.995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32</v>
      </c>
      <c r="DW27" t="s">
        <v>32</v>
      </c>
      <c r="DX27">
        <v>100</v>
      </c>
      <c r="EE27">
        <v>4020402</v>
      </c>
      <c r="EF27">
        <v>6</v>
      </c>
      <c r="EG27" t="s">
        <v>21</v>
      </c>
      <c r="EH27">
        <v>17</v>
      </c>
      <c r="EI27" t="s">
        <v>22</v>
      </c>
      <c r="EJ27">
        <v>1</v>
      </c>
      <c r="EK27">
        <v>218</v>
      </c>
      <c r="EL27" t="s">
        <v>23</v>
      </c>
      <c r="EM27" t="s">
        <v>24</v>
      </c>
      <c r="ET27">
        <v>1.8</v>
      </c>
      <c r="EU27">
        <v>2</v>
      </c>
    </row>
    <row r="28" spans="1:151" ht="12.75">
      <c r="A28">
        <v>17</v>
      </c>
      <c r="B28">
        <v>1</v>
      </c>
      <c r="C28">
        <f>ROW(SmtRes!A32)</f>
        <v>32</v>
      </c>
      <c r="E28">
        <v>5</v>
      </c>
      <c r="F28" t="s">
        <v>34</v>
      </c>
      <c r="G28" t="s">
        <v>35</v>
      </c>
      <c r="H28" t="s">
        <v>18</v>
      </c>
      <c r="I28">
        <v>19.5</v>
      </c>
      <c r="J28">
        <v>0</v>
      </c>
      <c r="O28">
        <f t="shared" si="2"/>
        <v>78604.9</v>
      </c>
      <c r="P28">
        <f t="shared" si="3"/>
        <v>68333.66</v>
      </c>
      <c r="Q28">
        <f t="shared" si="4"/>
        <v>2332.4</v>
      </c>
      <c r="R28">
        <f t="shared" si="5"/>
        <v>273.98</v>
      </c>
      <c r="S28">
        <f t="shared" si="6"/>
        <v>7938.84</v>
      </c>
      <c r="T28">
        <f t="shared" si="7"/>
        <v>0</v>
      </c>
      <c r="U28">
        <f t="shared" si="8"/>
        <v>920.99</v>
      </c>
      <c r="V28">
        <f t="shared" si="9"/>
        <v>23.21</v>
      </c>
      <c r="W28">
        <f t="shared" si="10"/>
        <v>0</v>
      </c>
      <c r="X28">
        <f t="shared" si="11"/>
        <v>9855.38</v>
      </c>
      <c r="Y28">
        <f t="shared" si="12"/>
        <v>5338.33</v>
      </c>
      <c r="AA28">
        <v>0</v>
      </c>
      <c r="AB28">
        <f t="shared" si="13"/>
        <v>4031.02</v>
      </c>
      <c r="AC28">
        <f t="shared" si="14"/>
        <v>3504.29</v>
      </c>
      <c r="AD28">
        <f t="shared" si="14"/>
        <v>119.61</v>
      </c>
      <c r="AE28">
        <f>(AN28*1*1*1*1*1*1*1*1*1*1*1*1*1*1*1*1*1*1*1*1*1*1*1*1*1*1*1*1)</f>
        <v>14.05</v>
      </c>
      <c r="AF28">
        <f>(AO28*1*1*1*1*1*1*1*1*1*1*1*1*1*1*1*1*1*1*1*1*1*1*1*1*1*1*1*1)</f>
        <v>407.12</v>
      </c>
      <c r="AG28">
        <f t="shared" si="16"/>
        <v>0</v>
      </c>
      <c r="AH28">
        <f>(AQ28*1*1*1*1*1*1*1*1*1*1*1*1*1*1*1*1*1*1*1*1*1*1*1*1*1*1*1)</f>
        <v>47.23</v>
      </c>
      <c r="AI28">
        <f>(AR28*1*1*1*1*1*1*1*1*1*1*1*1*1*1*1*1*1*1*1*1*1*1*1*1*1*1*1)</f>
        <v>1.19</v>
      </c>
      <c r="AJ28">
        <f t="shared" si="18"/>
        <v>0</v>
      </c>
      <c r="AK28">
        <v>4031.02</v>
      </c>
      <c r="AL28">
        <v>3504.29</v>
      </c>
      <c r="AM28">
        <v>119.61</v>
      </c>
      <c r="AN28">
        <v>14.05</v>
      </c>
      <c r="AO28">
        <v>407.12</v>
      </c>
      <c r="AP28">
        <v>0</v>
      </c>
      <c r="AQ28">
        <v>47.23</v>
      </c>
      <c r="AR28">
        <v>1.19</v>
      </c>
      <c r="AS28">
        <v>0</v>
      </c>
      <c r="AT28">
        <v>120</v>
      </c>
      <c r="AU28"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36</v>
      </c>
      <c r="BM28">
        <v>18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9"/>
        <v>78604.9</v>
      </c>
      <c r="CQ28">
        <f t="shared" si="20"/>
        <v>3504.29</v>
      </c>
      <c r="CR28">
        <f t="shared" si="21"/>
        <v>119.61</v>
      </c>
      <c r="CS28">
        <f t="shared" si="22"/>
        <v>14.05</v>
      </c>
      <c r="CT28">
        <f t="shared" si="23"/>
        <v>407.12</v>
      </c>
      <c r="CU28">
        <f t="shared" si="24"/>
        <v>0</v>
      </c>
      <c r="CV28">
        <f t="shared" si="25"/>
        <v>47.23</v>
      </c>
      <c r="CW28">
        <f t="shared" si="26"/>
        <v>1.19</v>
      </c>
      <c r="CX28">
        <f t="shared" si="27"/>
        <v>0</v>
      </c>
      <c r="CY28">
        <f>((((S28+R28)*AT28)/100)*IF((1=1),1,0.6)*IF((0=0),1,1.2)*IF((1=1),1,0.9)*IF((1=1),1,0.7))</f>
        <v>9855.383999999998</v>
      </c>
      <c r="CZ28">
        <f>((((S28+R28)*AU28)/100)*IF((1=1),1,0.9)*1)</f>
        <v>5338.333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18</v>
      </c>
      <c r="DW28" t="s">
        <v>37</v>
      </c>
      <c r="DX28">
        <v>100</v>
      </c>
      <c r="EE28">
        <v>4020346</v>
      </c>
      <c r="EF28">
        <v>2</v>
      </c>
      <c r="EG28" t="s">
        <v>38</v>
      </c>
      <c r="EH28">
        <v>17</v>
      </c>
      <c r="EI28" t="s">
        <v>22</v>
      </c>
      <c r="EJ28">
        <v>1</v>
      </c>
      <c r="EK28">
        <v>18</v>
      </c>
      <c r="EL28" t="s">
        <v>22</v>
      </c>
      <c r="EM28" t="s">
        <v>39</v>
      </c>
      <c r="ET28">
        <v>19.5</v>
      </c>
      <c r="EU28">
        <v>2</v>
      </c>
    </row>
    <row r="29" spans="1:151" ht="12.75">
      <c r="A29">
        <v>17</v>
      </c>
      <c r="B29">
        <v>1</v>
      </c>
      <c r="C29">
        <f>ROW(SmtRes!A40)</f>
        <v>40</v>
      </c>
      <c r="E29">
        <v>8</v>
      </c>
      <c r="F29" t="s">
        <v>40</v>
      </c>
      <c r="G29" t="s">
        <v>41</v>
      </c>
      <c r="H29" t="s">
        <v>18</v>
      </c>
      <c r="I29">
        <v>2.67</v>
      </c>
      <c r="J29">
        <v>0</v>
      </c>
      <c r="O29">
        <f t="shared" si="2"/>
        <v>6716.98</v>
      </c>
      <c r="P29">
        <f t="shared" si="3"/>
        <v>6137.72</v>
      </c>
      <c r="Q29">
        <f t="shared" si="4"/>
        <v>57.7</v>
      </c>
      <c r="R29">
        <f t="shared" si="5"/>
        <v>29.18</v>
      </c>
      <c r="S29">
        <f t="shared" si="6"/>
        <v>521.56</v>
      </c>
      <c r="T29">
        <f t="shared" si="7"/>
        <v>0</v>
      </c>
      <c r="U29">
        <f t="shared" si="8"/>
        <v>59.67</v>
      </c>
      <c r="V29">
        <f t="shared" si="9"/>
        <v>0.67</v>
      </c>
      <c r="W29">
        <f t="shared" si="10"/>
        <v>0</v>
      </c>
      <c r="X29">
        <f t="shared" si="11"/>
        <v>457.11</v>
      </c>
      <c r="Y29">
        <f t="shared" si="12"/>
        <v>357.98</v>
      </c>
      <c r="AA29">
        <v>0</v>
      </c>
      <c r="AB29">
        <f t="shared" si="13"/>
        <v>2515.7200000000003</v>
      </c>
      <c r="AC29">
        <f t="shared" si="14"/>
        <v>2298.77</v>
      </c>
      <c r="AD29">
        <f t="shared" si="14"/>
        <v>21.61</v>
      </c>
      <c r="AE29">
        <f aca="true" t="shared" si="28" ref="AE29:AF31">(AN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10.93</v>
      </c>
      <c r="AF29">
        <f t="shared" si="28"/>
        <v>195.34</v>
      </c>
      <c r="AG29">
        <f t="shared" si="16"/>
        <v>0</v>
      </c>
      <c r="AH29">
        <f aca="true" t="shared" si="29" ref="AH29:AI31">(AQ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22.35</v>
      </c>
      <c r="AI29">
        <f t="shared" si="29"/>
        <v>0.25</v>
      </c>
      <c r="AJ29">
        <f t="shared" si="18"/>
        <v>0</v>
      </c>
      <c r="AK29">
        <v>2515.72</v>
      </c>
      <c r="AL29">
        <v>2298.77</v>
      </c>
      <c r="AM29">
        <v>21.61</v>
      </c>
      <c r="AN29">
        <v>10.93</v>
      </c>
      <c r="AO29">
        <v>195.34</v>
      </c>
      <c r="AP29">
        <v>0</v>
      </c>
      <c r="AQ29">
        <v>22.35</v>
      </c>
      <c r="AR29">
        <v>0.25</v>
      </c>
      <c r="AS29">
        <v>0</v>
      </c>
      <c r="AT29">
        <v>83</v>
      </c>
      <c r="AU29"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42</v>
      </c>
      <c r="BM29">
        <v>218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9"/>
        <v>6716.98</v>
      </c>
      <c r="CQ29">
        <f t="shared" si="20"/>
        <v>2298.77</v>
      </c>
      <c r="CR29">
        <f t="shared" si="21"/>
        <v>21.61</v>
      </c>
      <c r="CS29">
        <f t="shared" si="22"/>
        <v>10.93</v>
      </c>
      <c r="CT29">
        <f t="shared" si="23"/>
        <v>195.34</v>
      </c>
      <c r="CU29">
        <f t="shared" si="24"/>
        <v>0</v>
      </c>
      <c r="CV29">
        <f t="shared" si="25"/>
        <v>22.35</v>
      </c>
      <c r="CW29">
        <f t="shared" si="26"/>
        <v>0.25</v>
      </c>
      <c r="CX29">
        <f t="shared" si="27"/>
        <v>0</v>
      </c>
      <c r="CY29">
        <f>((((S29+R29)*AT29)/100)*IF((1=1),1,0.6)*IF((0=0),1,1.2)*IF((1=1),1,0.7))</f>
        <v>457.1141999999999</v>
      </c>
      <c r="CZ29">
        <f>((((S29+R29)*AU29)/100)*IF((1=1),1,0.9))</f>
        <v>357.98099999999994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18</v>
      </c>
      <c r="DW29" t="s">
        <v>43</v>
      </c>
      <c r="DX29">
        <v>100</v>
      </c>
      <c r="EE29">
        <v>4020402</v>
      </c>
      <c r="EF29">
        <v>6</v>
      </c>
      <c r="EG29" t="s">
        <v>21</v>
      </c>
      <c r="EH29">
        <v>17</v>
      </c>
      <c r="EI29" t="s">
        <v>22</v>
      </c>
      <c r="EJ29">
        <v>1</v>
      </c>
      <c r="EK29">
        <v>218</v>
      </c>
      <c r="EL29" t="s">
        <v>23</v>
      </c>
      <c r="EM29" t="s">
        <v>24</v>
      </c>
      <c r="ET29">
        <v>2.67</v>
      </c>
      <c r="EU29">
        <v>2</v>
      </c>
    </row>
    <row r="30" spans="1:151" ht="12.75">
      <c r="A30">
        <v>18</v>
      </c>
      <c r="B30">
        <v>1</v>
      </c>
      <c r="E30" t="s">
        <v>44</v>
      </c>
      <c r="F30" t="s">
        <v>45</v>
      </c>
      <c r="G30" t="s">
        <v>46</v>
      </c>
      <c r="H30" t="s">
        <v>47</v>
      </c>
      <c r="I30">
        <f>I29*J30</f>
        <v>307.05</v>
      </c>
      <c r="J30">
        <v>115</v>
      </c>
      <c r="O30">
        <f t="shared" si="2"/>
        <v>2290.59</v>
      </c>
      <c r="P30">
        <f t="shared" si="3"/>
        <v>2290.59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7.46</v>
      </c>
      <c r="AC30">
        <f t="shared" si="14"/>
        <v>7.46</v>
      </c>
      <c r="AD30">
        <f t="shared" si="14"/>
        <v>0</v>
      </c>
      <c r="AE30">
        <f t="shared" si="28"/>
        <v>0</v>
      </c>
      <c r="AF30">
        <f t="shared" si="28"/>
        <v>0</v>
      </c>
      <c r="AG30">
        <f t="shared" si="16"/>
        <v>0</v>
      </c>
      <c r="AH30">
        <f t="shared" si="29"/>
        <v>0</v>
      </c>
      <c r="AI30">
        <f t="shared" si="29"/>
        <v>0</v>
      </c>
      <c r="AJ30">
        <f t="shared" si="18"/>
        <v>0</v>
      </c>
      <c r="AK30">
        <v>7.46</v>
      </c>
      <c r="AL30">
        <v>7.46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83</v>
      </c>
      <c r="AU30"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48</v>
      </c>
      <c r="BM30">
        <v>218</v>
      </c>
      <c r="BN30">
        <v>0</v>
      </c>
      <c r="BP30">
        <v>0</v>
      </c>
      <c r="BQ30">
        <v>6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9"/>
        <v>2290.59</v>
      </c>
      <c r="CQ30">
        <f t="shared" si="20"/>
        <v>7.46</v>
      </c>
      <c r="CR30">
        <f t="shared" si="21"/>
        <v>0</v>
      </c>
      <c r="CS30">
        <f t="shared" si="22"/>
        <v>0</v>
      </c>
      <c r="CT30">
        <f t="shared" si="23"/>
        <v>0</v>
      </c>
      <c r="CU30">
        <f t="shared" si="24"/>
        <v>0</v>
      </c>
      <c r="CV30">
        <f t="shared" si="25"/>
        <v>0</v>
      </c>
      <c r="CW30">
        <f t="shared" si="26"/>
        <v>0</v>
      </c>
      <c r="CX30">
        <f t="shared" si="27"/>
        <v>0</v>
      </c>
      <c r="CY30">
        <f>((((S30+R30)*AT30)/100)*IF((1=1),1,0.6)*IF((0=0),1,1.2)*IF((1=1),1,0.7))</f>
        <v>0</v>
      </c>
      <c r="CZ30">
        <f>((((S30+R30)*AU30)/100)*IF((1=1),1,0.9))</f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47</v>
      </c>
      <c r="DW30" t="s">
        <v>47</v>
      </c>
      <c r="DX30">
        <v>1</v>
      </c>
      <c r="EE30">
        <v>4020402</v>
      </c>
      <c r="EF30">
        <v>6</v>
      </c>
      <c r="EG30" t="s">
        <v>21</v>
      </c>
      <c r="EH30">
        <v>17</v>
      </c>
      <c r="EI30" t="s">
        <v>22</v>
      </c>
      <c r="EJ30">
        <v>1</v>
      </c>
      <c r="EK30">
        <v>218</v>
      </c>
      <c r="EL30" t="s">
        <v>23</v>
      </c>
      <c r="EM30" t="s">
        <v>24</v>
      </c>
      <c r="ET30">
        <v>307.05</v>
      </c>
      <c r="EU30">
        <v>2</v>
      </c>
    </row>
    <row r="31" spans="1:151" ht="12.75">
      <c r="A31">
        <v>17</v>
      </c>
      <c r="B31">
        <v>1</v>
      </c>
      <c r="C31">
        <f>ROW(SmtRes!A43)</f>
        <v>43</v>
      </c>
      <c r="E31">
        <v>9</v>
      </c>
      <c r="F31" t="s">
        <v>49</v>
      </c>
      <c r="G31" t="s">
        <v>50</v>
      </c>
      <c r="H31" t="s">
        <v>51</v>
      </c>
      <c r="I31">
        <v>0.03</v>
      </c>
      <c r="J31">
        <v>0</v>
      </c>
      <c r="O31">
        <f t="shared" si="2"/>
        <v>74.09</v>
      </c>
      <c r="P31">
        <f t="shared" si="3"/>
        <v>0</v>
      </c>
      <c r="Q31">
        <f t="shared" si="4"/>
        <v>0.51</v>
      </c>
      <c r="R31">
        <f t="shared" si="5"/>
        <v>0</v>
      </c>
      <c r="S31">
        <f t="shared" si="6"/>
        <v>73.58</v>
      </c>
      <c r="T31">
        <f t="shared" si="7"/>
        <v>0</v>
      </c>
      <c r="U31">
        <f t="shared" si="8"/>
        <v>9.28</v>
      </c>
      <c r="V31">
        <f t="shared" si="9"/>
        <v>0</v>
      </c>
      <c r="W31">
        <f t="shared" si="10"/>
        <v>0</v>
      </c>
      <c r="X31">
        <f t="shared" si="11"/>
        <v>61.07</v>
      </c>
      <c r="Y31">
        <f t="shared" si="12"/>
        <v>47.83</v>
      </c>
      <c r="AA31">
        <v>0</v>
      </c>
      <c r="AB31">
        <f t="shared" si="13"/>
        <v>2469.65</v>
      </c>
      <c r="AC31">
        <f t="shared" si="14"/>
        <v>0</v>
      </c>
      <c r="AD31">
        <f t="shared" si="14"/>
        <v>16.9</v>
      </c>
      <c r="AE31">
        <f t="shared" si="28"/>
        <v>0</v>
      </c>
      <c r="AF31">
        <f t="shared" si="28"/>
        <v>2452.75</v>
      </c>
      <c r="AG31">
        <f t="shared" si="16"/>
        <v>0</v>
      </c>
      <c r="AH31">
        <f t="shared" si="29"/>
        <v>309.3</v>
      </c>
      <c r="AI31">
        <f t="shared" si="29"/>
        <v>0</v>
      </c>
      <c r="AJ31">
        <f t="shared" si="18"/>
        <v>0</v>
      </c>
      <c r="AK31">
        <v>2469.65</v>
      </c>
      <c r="AL31">
        <v>0</v>
      </c>
      <c r="AM31">
        <v>16.9</v>
      </c>
      <c r="AN31">
        <v>0</v>
      </c>
      <c r="AO31">
        <v>2452.75</v>
      </c>
      <c r="AP31">
        <v>0</v>
      </c>
      <c r="AQ31">
        <v>309.3</v>
      </c>
      <c r="AR31">
        <v>0</v>
      </c>
      <c r="AS31">
        <v>0</v>
      </c>
      <c r="AT31">
        <v>83</v>
      </c>
      <c r="AU31"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52</v>
      </c>
      <c r="BM31">
        <v>218</v>
      </c>
      <c r="BN31">
        <v>0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O31">
        <v>0</v>
      </c>
      <c r="CP31">
        <f t="shared" si="19"/>
        <v>74.09</v>
      </c>
      <c r="CQ31">
        <f t="shared" si="20"/>
        <v>0</v>
      </c>
      <c r="CR31">
        <f t="shared" si="21"/>
        <v>16.9</v>
      </c>
      <c r="CS31">
        <f t="shared" si="22"/>
        <v>0</v>
      </c>
      <c r="CT31">
        <f t="shared" si="23"/>
        <v>2452.75</v>
      </c>
      <c r="CU31">
        <f t="shared" si="24"/>
        <v>0</v>
      </c>
      <c r="CV31">
        <f t="shared" si="25"/>
        <v>309.3</v>
      </c>
      <c r="CW31">
        <f t="shared" si="26"/>
        <v>0</v>
      </c>
      <c r="CX31">
        <f t="shared" si="27"/>
        <v>0</v>
      </c>
      <c r="CY31">
        <f>((((S31+R31)*AT31)/100)*IF((1=1),1,0.6)*IF((0=0),1,1.2)*IF((1=1),1,0.7))</f>
        <v>61.0714</v>
      </c>
      <c r="CZ31">
        <f>((((S31+R31)*AU31)/100)*IF((1=1),1,0.9))</f>
        <v>47.827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51</v>
      </c>
      <c r="DW31" t="s">
        <v>53</v>
      </c>
      <c r="DX31">
        <v>100</v>
      </c>
      <c r="EE31">
        <v>4020402</v>
      </c>
      <c r="EF31">
        <v>6</v>
      </c>
      <c r="EG31" t="s">
        <v>21</v>
      </c>
      <c r="EH31">
        <v>17</v>
      </c>
      <c r="EI31" t="s">
        <v>22</v>
      </c>
      <c r="EJ31">
        <v>1</v>
      </c>
      <c r="EK31">
        <v>218</v>
      </c>
      <c r="EL31" t="s">
        <v>23</v>
      </c>
      <c r="EM31" t="s">
        <v>24</v>
      </c>
      <c r="ET31">
        <v>0.03</v>
      </c>
      <c r="EU31">
        <v>2</v>
      </c>
    </row>
    <row r="32" spans="1:151" ht="409.5">
      <c r="A32">
        <v>17</v>
      </c>
      <c r="B32">
        <v>1</v>
      </c>
      <c r="C32">
        <f>ROW(SmtRes!A54)</f>
        <v>54</v>
      </c>
      <c r="E32">
        <v>10</v>
      </c>
      <c r="F32" t="s">
        <v>55</v>
      </c>
      <c r="G32" t="s">
        <v>56</v>
      </c>
      <c r="H32" t="s">
        <v>57</v>
      </c>
      <c r="I32">
        <v>3</v>
      </c>
      <c r="J32">
        <v>0</v>
      </c>
      <c r="O32">
        <f t="shared" si="2"/>
        <v>1010.97</v>
      </c>
      <c r="P32">
        <f t="shared" si="3"/>
        <v>739.92</v>
      </c>
      <c r="Q32">
        <f t="shared" si="4"/>
        <v>76.16</v>
      </c>
      <c r="R32">
        <f t="shared" si="5"/>
        <v>9.75</v>
      </c>
      <c r="S32">
        <f t="shared" si="6"/>
        <v>194.89</v>
      </c>
      <c r="T32">
        <f t="shared" si="7"/>
        <v>0</v>
      </c>
      <c r="U32">
        <f t="shared" si="8"/>
        <v>22.87</v>
      </c>
      <c r="V32">
        <f t="shared" si="9"/>
        <v>0.83</v>
      </c>
      <c r="W32">
        <f t="shared" si="10"/>
        <v>0</v>
      </c>
      <c r="X32">
        <f t="shared" si="11"/>
        <v>241.48</v>
      </c>
      <c r="Y32">
        <f t="shared" si="12"/>
        <v>128.92</v>
      </c>
      <c r="AA32">
        <v>0</v>
      </c>
      <c r="AB32">
        <f t="shared" si="13"/>
        <v>336.991</v>
      </c>
      <c r="AC32">
        <f>AL32</f>
        <v>246.64</v>
      </c>
      <c r="AD32">
        <f>(AM32*1.25)</f>
        <v>25.3875</v>
      </c>
      <c r="AE32">
        <f>((AN32*1*1*1*1*1*1*1*1*1*1*1*1*1*1*1*1*1*1*1*1*1*1*1*1*1*1*1*1)*1.25)</f>
        <v>3.25</v>
      </c>
      <c r="AF32">
        <f>((AO32*1*1*1*1*1*1*1*1*1*1*1*1*1*1*1*1*1*1*1*1*1*1*1*1*1*1*1*1)*1.15)</f>
        <v>64.9635</v>
      </c>
      <c r="AG32">
        <f t="shared" si="16"/>
        <v>0</v>
      </c>
      <c r="AH32">
        <f>(AQ32*1*1*1*1*1*1*1*1*1*1*1*1*1*1*1*1*1*1*1*1*1*1*1*1*1*1*1)</f>
        <v>7.624499999999999</v>
      </c>
      <c r="AI32">
        <f>(AR32*1*1*1*1*1*1*1*1*1*1*1*1*1*1*1*1*1*1*1*1*1*1*1*1*1*1*1)</f>
        <v>0.275</v>
      </c>
      <c r="AJ32">
        <f t="shared" si="18"/>
        <v>0</v>
      </c>
      <c r="AK32">
        <v>323.44</v>
      </c>
      <c r="AL32">
        <v>246.64</v>
      </c>
      <c r="AM32">
        <v>20.31</v>
      </c>
      <c r="AN32">
        <v>2.6</v>
      </c>
      <c r="AO32">
        <v>56.49</v>
      </c>
      <c r="AP32">
        <v>0</v>
      </c>
      <c r="AQ32">
        <v>7.624499999999999</v>
      </c>
      <c r="AR32">
        <v>0.275</v>
      </c>
      <c r="AS32">
        <v>0</v>
      </c>
      <c r="AT32">
        <v>118</v>
      </c>
      <c r="AU32">
        <v>63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58</v>
      </c>
      <c r="BM32">
        <v>16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CF32">
        <v>0</v>
      </c>
      <c r="CG32">
        <v>0</v>
      </c>
      <c r="CM32">
        <v>0</v>
      </c>
      <c r="CN32" t="s">
        <v>383</v>
      </c>
      <c r="CO32">
        <v>0</v>
      </c>
      <c r="CP32">
        <f t="shared" si="19"/>
        <v>1010.9699999999999</v>
      </c>
      <c r="CQ32">
        <f t="shared" si="20"/>
        <v>246.64</v>
      </c>
      <c r="CR32">
        <f t="shared" si="21"/>
        <v>25.3875</v>
      </c>
      <c r="CS32">
        <f t="shared" si="22"/>
        <v>3.25</v>
      </c>
      <c r="CT32">
        <f t="shared" si="23"/>
        <v>64.9635</v>
      </c>
      <c r="CU32">
        <f t="shared" si="24"/>
        <v>0</v>
      </c>
      <c r="CV32">
        <f t="shared" si="25"/>
        <v>7.624499999999999</v>
      </c>
      <c r="CW32">
        <f t="shared" si="26"/>
        <v>0.275</v>
      </c>
      <c r="CX32">
        <f t="shared" si="27"/>
        <v>0</v>
      </c>
      <c r="CY32">
        <f>((((S32+R32)*AT32)/100)*IF((1=1),1,0.6)*IF((0=0),1,1.2)*IF((1=1),1,0.9)*IF((1=1),1,0.7))</f>
        <v>241.47519999999997</v>
      </c>
      <c r="CZ32">
        <f>((((S32+R32)*AU32)/100)*IF((1=1),1,0.9)*1)</f>
        <v>128.9232</v>
      </c>
      <c r="DE32" t="s">
        <v>59</v>
      </c>
      <c r="DF32" t="s">
        <v>59</v>
      </c>
      <c r="DG32" t="s">
        <v>60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57</v>
      </c>
      <c r="DW32" t="s">
        <v>61</v>
      </c>
      <c r="DX32">
        <v>1</v>
      </c>
      <c r="EE32">
        <v>4020344</v>
      </c>
      <c r="EF32">
        <v>2</v>
      </c>
      <c r="EG32" t="s">
        <v>38</v>
      </c>
      <c r="EH32">
        <v>15</v>
      </c>
      <c r="EI32" t="s">
        <v>62</v>
      </c>
      <c r="EJ32">
        <v>1</v>
      </c>
      <c r="EK32">
        <v>16</v>
      </c>
      <c r="EL32" t="s">
        <v>62</v>
      </c>
      <c r="EM32" t="s">
        <v>54</v>
      </c>
      <c r="EN32" s="2" t="s">
        <v>384</v>
      </c>
      <c r="ET32">
        <v>3</v>
      </c>
      <c r="EU32">
        <v>2</v>
      </c>
    </row>
    <row r="33" spans="1:151" ht="409.5">
      <c r="A33">
        <v>18</v>
      </c>
      <c r="B33">
        <v>1</v>
      </c>
      <c r="E33" t="s">
        <v>63</v>
      </c>
      <c r="F33" t="s">
        <v>64</v>
      </c>
      <c r="G33" t="s">
        <v>65</v>
      </c>
      <c r="H33" t="s">
        <v>47</v>
      </c>
      <c r="I33">
        <f>I32*J33</f>
        <v>2.499999</v>
      </c>
      <c r="J33">
        <v>0.833333</v>
      </c>
      <c r="O33">
        <f t="shared" si="2"/>
        <v>403.67</v>
      </c>
      <c r="P33">
        <f t="shared" si="3"/>
        <v>403.67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</v>
      </c>
      <c r="AA33">
        <v>0</v>
      </c>
      <c r="AB33">
        <f t="shared" si="13"/>
        <v>161.47</v>
      </c>
      <c r="AC33">
        <f>AL33</f>
        <v>161.47</v>
      </c>
      <c r="AD33">
        <f>(AM33*1.25)</f>
        <v>0</v>
      </c>
      <c r="AE33">
        <f>((AN33*1*1*1*1*1*1*1*1*1*1*1*1*1*1*1*1*1*1*1*1*1*1*1*1*1*1*1*1)*1.25)</f>
        <v>0</v>
      </c>
      <c r="AF33">
        <f>((AO33*1*1*1*1*1*1*1*1*1*1*1*1*1*1*1*1*1*1*1*1*1*1*1*1*1*1*1*1)*1.15)</f>
        <v>0</v>
      </c>
      <c r="AG33">
        <f t="shared" si="16"/>
        <v>0</v>
      </c>
      <c r="AH33">
        <f>(AQ33*1*1*1*1*1*1*1*1*1*1*1*1*1*1*1*1*1*1*1*1*1*1*1*1*1*1*1)</f>
        <v>0</v>
      </c>
      <c r="AI33">
        <f>(AR33*1*1*1*1*1*1*1*1*1*1*1*1*1*1*1*1*1*1*1*1*1*1*1*1*1*1*1)</f>
        <v>0</v>
      </c>
      <c r="AJ33">
        <f t="shared" si="18"/>
        <v>0</v>
      </c>
      <c r="AK33">
        <v>161.47</v>
      </c>
      <c r="AL33">
        <v>161.47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118</v>
      </c>
      <c r="AU33">
        <v>63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1</v>
      </c>
      <c r="BJ33" t="s">
        <v>66</v>
      </c>
      <c r="BM33">
        <v>16</v>
      </c>
      <c r="BN33">
        <v>0</v>
      </c>
      <c r="BP33">
        <v>0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CF33">
        <v>0</v>
      </c>
      <c r="CG33">
        <v>0</v>
      </c>
      <c r="CM33">
        <v>0</v>
      </c>
      <c r="CN33" t="s">
        <v>383</v>
      </c>
      <c r="CO33">
        <v>0</v>
      </c>
      <c r="CP33">
        <f t="shared" si="19"/>
        <v>403.67</v>
      </c>
      <c r="CQ33">
        <f t="shared" si="20"/>
        <v>161.47</v>
      </c>
      <c r="CR33">
        <f t="shared" si="21"/>
        <v>0</v>
      </c>
      <c r="CS33">
        <f t="shared" si="22"/>
        <v>0</v>
      </c>
      <c r="CT33">
        <f t="shared" si="23"/>
        <v>0</v>
      </c>
      <c r="CU33">
        <f t="shared" si="24"/>
        <v>0</v>
      </c>
      <c r="CV33">
        <f t="shared" si="25"/>
        <v>0</v>
      </c>
      <c r="CW33">
        <f t="shared" si="26"/>
        <v>0</v>
      </c>
      <c r="CX33">
        <f t="shared" si="27"/>
        <v>0</v>
      </c>
      <c r="CY33">
        <f>((((S33+R33)*AT33)/100)*IF((1=1),1,0.6)*IF((0=0),1,1.2)*IF((1=1),1,0.9)*IF((1=1),1,0.7))</f>
        <v>0</v>
      </c>
      <c r="CZ33">
        <f>((((S33+R33)*AU33)/100)*IF((1=1),1,0.9)*1)</f>
        <v>0</v>
      </c>
      <c r="DE33" t="s">
        <v>59</v>
      </c>
      <c r="DF33" t="s">
        <v>59</v>
      </c>
      <c r="DG33" t="s">
        <v>60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47</v>
      </c>
      <c r="DW33" t="s">
        <v>47</v>
      </c>
      <c r="DX33">
        <v>1</v>
      </c>
      <c r="EE33">
        <v>4020344</v>
      </c>
      <c r="EF33">
        <v>2</v>
      </c>
      <c r="EG33" t="s">
        <v>38</v>
      </c>
      <c r="EH33">
        <v>15</v>
      </c>
      <c r="EI33" t="s">
        <v>62</v>
      </c>
      <c r="EJ33">
        <v>1</v>
      </c>
      <c r="EK33">
        <v>16</v>
      </c>
      <c r="EL33" t="s">
        <v>62</v>
      </c>
      <c r="EM33" t="s">
        <v>54</v>
      </c>
      <c r="EN33" s="2" t="s">
        <v>384</v>
      </c>
      <c r="ET33">
        <v>2.5</v>
      </c>
      <c r="EU33">
        <v>2</v>
      </c>
    </row>
    <row r="34" spans="1:128" ht="12.75">
      <c r="A34">
        <v>19</v>
      </c>
      <c r="B34">
        <v>1</v>
      </c>
      <c r="G34" t="s">
        <v>67</v>
      </c>
      <c r="AA34">
        <v>1</v>
      </c>
      <c r="DX34">
        <v>0</v>
      </c>
    </row>
    <row r="35" spans="1:151" ht="12.75">
      <c r="A35">
        <v>17</v>
      </c>
      <c r="B35">
        <v>1</v>
      </c>
      <c r="C35">
        <f>ROW(SmtRes!A62)</f>
        <v>62</v>
      </c>
      <c r="E35">
        <v>16</v>
      </c>
      <c r="F35" t="s">
        <v>68</v>
      </c>
      <c r="G35" t="s">
        <v>69</v>
      </c>
      <c r="H35" t="s">
        <v>51</v>
      </c>
      <c r="I35">
        <v>0.15</v>
      </c>
      <c r="J35">
        <v>0</v>
      </c>
      <c r="O35">
        <f>ROUND(CP35,2)</f>
        <v>688.64</v>
      </c>
      <c r="P35">
        <f>ROUND(CQ35*I35,2)</f>
        <v>547.42</v>
      </c>
      <c r="Q35">
        <f>ROUND(CR35*I35,2)</f>
        <v>1.09</v>
      </c>
      <c r="R35">
        <f>ROUND(CS35*I35,2)</f>
        <v>0.21</v>
      </c>
      <c r="S35">
        <f>ROUND(CT35*I35,2)</f>
        <v>140.13</v>
      </c>
      <c r="T35">
        <f>ROUND(CU35*I35,2)</f>
        <v>0</v>
      </c>
      <c r="U35">
        <f>ROUND(CV35*I35,2)</f>
        <v>15.45</v>
      </c>
      <c r="V35">
        <f>ROUND(CW35*I35,2)</f>
        <v>0.02</v>
      </c>
      <c r="W35">
        <f>ROUND(CX35*I35,2)</f>
        <v>0</v>
      </c>
      <c r="X35">
        <f aca="true" t="shared" si="30" ref="X35:Y38">ROUND(CY35,2)</f>
        <v>144.55</v>
      </c>
      <c r="Y35">
        <f t="shared" si="30"/>
        <v>84.2</v>
      </c>
      <c r="AA35">
        <v>0</v>
      </c>
      <c r="AB35">
        <f>(AC35+AD35+AF35)</f>
        <v>4590.99</v>
      </c>
      <c r="AC35">
        <f aca="true" t="shared" si="31" ref="AC35:AD38">AL35</f>
        <v>3649.49</v>
      </c>
      <c r="AD35">
        <f t="shared" si="31"/>
        <v>7.29</v>
      </c>
      <c r="AE35">
        <f>(AN35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1.42</v>
      </c>
      <c r="AF35">
        <f>(AO35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934.21</v>
      </c>
      <c r="AG35">
        <f>AP35</f>
        <v>0</v>
      </c>
      <c r="AH35">
        <f aca="true" t="shared" si="32" ref="AH35:AI38">(AQ35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103</v>
      </c>
      <c r="AI35">
        <f t="shared" si="32"/>
        <v>0.12</v>
      </c>
      <c r="AJ35">
        <f>AS35</f>
        <v>0</v>
      </c>
      <c r="AK35">
        <v>4590.99</v>
      </c>
      <c r="AL35">
        <v>3649.49</v>
      </c>
      <c r="AM35">
        <v>7.29</v>
      </c>
      <c r="AN35">
        <v>1.42</v>
      </c>
      <c r="AO35">
        <v>934.21</v>
      </c>
      <c r="AP35">
        <v>0</v>
      </c>
      <c r="AQ35">
        <v>103</v>
      </c>
      <c r="AR35">
        <v>0.12</v>
      </c>
      <c r="AS35">
        <v>0</v>
      </c>
      <c r="AT35">
        <v>103</v>
      </c>
      <c r="AU35"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70</v>
      </c>
      <c r="BM35">
        <v>226</v>
      </c>
      <c r="BN35">
        <v>0</v>
      </c>
      <c r="BP35">
        <v>0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CF35">
        <v>0</v>
      </c>
      <c r="CG35">
        <v>0</v>
      </c>
      <c r="CM35">
        <v>0</v>
      </c>
      <c r="CO35">
        <v>0</v>
      </c>
      <c r="CP35">
        <f>(P35+Q35+S35)</f>
        <v>688.64</v>
      </c>
      <c r="CQ35">
        <f>(AC35)*BC35</f>
        <v>3649.49</v>
      </c>
      <c r="CR35">
        <f>(AD35)*BB35</f>
        <v>7.29</v>
      </c>
      <c r="CS35">
        <f>(AE35)*BS35</f>
        <v>1.42</v>
      </c>
      <c r="CT35">
        <f>(AF35)*BA35</f>
        <v>934.21</v>
      </c>
      <c r="CU35">
        <f aca="true" t="shared" si="33" ref="CU35:CX38">(AG35)*BT35</f>
        <v>0</v>
      </c>
      <c r="CV35">
        <f t="shared" si="33"/>
        <v>103</v>
      </c>
      <c r="CW35">
        <f t="shared" si="33"/>
        <v>0.12</v>
      </c>
      <c r="CX35">
        <f t="shared" si="33"/>
        <v>0</v>
      </c>
      <c r="CY35">
        <f>((((S35+R35)*AT35)/100)*IF((1=1),1,0.6)*IF((0=0),1,1.2)*IF((1=1),1,0.7))</f>
        <v>144.55020000000002</v>
      </c>
      <c r="CZ35">
        <f>((((S35+R35)*AU35)/100)*IF((1=1),1,0.9))</f>
        <v>84.204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1010</v>
      </c>
      <c r="DV35" t="s">
        <v>51</v>
      </c>
      <c r="DW35" t="s">
        <v>51</v>
      </c>
      <c r="DX35">
        <v>100</v>
      </c>
      <c r="EE35">
        <v>4020410</v>
      </c>
      <c r="EF35">
        <v>6</v>
      </c>
      <c r="EG35" t="s">
        <v>21</v>
      </c>
      <c r="EH35">
        <v>90</v>
      </c>
      <c r="EI35" t="s">
        <v>71</v>
      </c>
      <c r="EJ35">
        <v>1</v>
      </c>
      <c r="EK35">
        <v>226</v>
      </c>
      <c r="EL35" t="s">
        <v>72</v>
      </c>
      <c r="EM35" t="s">
        <v>73</v>
      </c>
      <c r="ET35">
        <v>0.15</v>
      </c>
      <c r="EU35">
        <v>2</v>
      </c>
    </row>
    <row r="36" spans="1:151" ht="409.5">
      <c r="A36">
        <v>17</v>
      </c>
      <c r="B36">
        <v>1</v>
      </c>
      <c r="C36">
        <f>ROW(SmtRes!A78)</f>
        <v>78</v>
      </c>
      <c r="E36">
        <v>18</v>
      </c>
      <c r="F36" t="s">
        <v>74</v>
      </c>
      <c r="G36" t="s">
        <v>75</v>
      </c>
      <c r="H36" t="s">
        <v>32</v>
      </c>
      <c r="I36">
        <v>0.64</v>
      </c>
      <c r="J36">
        <v>0</v>
      </c>
      <c r="O36">
        <f>ROUND(CP36,2)</f>
        <v>5450.07</v>
      </c>
      <c r="P36">
        <f>ROUND(CQ36*I36,2)</f>
        <v>4571.16</v>
      </c>
      <c r="Q36">
        <f>ROUND(CR36*I36,2)</f>
        <v>20.26</v>
      </c>
      <c r="R36">
        <f>ROUND(CS36*I36,2)</f>
        <v>2.38</v>
      </c>
      <c r="S36">
        <f>ROUND(CT36*I36,2)</f>
        <v>858.65</v>
      </c>
      <c r="T36">
        <f>ROUND(CU36*I36,2)</f>
        <v>0</v>
      </c>
      <c r="U36">
        <f>ROUND(CV36*I36,2)</f>
        <v>89.35</v>
      </c>
      <c r="V36">
        <f>ROUND(CW36*I36,2)</f>
        <v>0.31</v>
      </c>
      <c r="W36">
        <f>ROUND(CX36*I36,2)</f>
        <v>0</v>
      </c>
      <c r="X36">
        <f t="shared" si="30"/>
        <v>886.86</v>
      </c>
      <c r="Y36">
        <f t="shared" si="30"/>
        <v>516.62</v>
      </c>
      <c r="AA36">
        <v>0</v>
      </c>
      <c r="AB36">
        <f>(AC36+AD36+AF36)</f>
        <v>8515.7275</v>
      </c>
      <c r="AC36">
        <f t="shared" si="31"/>
        <v>7142.43</v>
      </c>
      <c r="AD36">
        <f t="shared" si="31"/>
        <v>31.65</v>
      </c>
      <c r="AE36">
        <f>(AN36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3.72</v>
      </c>
      <c r="AF36">
        <f>((AO36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*1.15)</f>
        <v>1341.6475</v>
      </c>
      <c r="AG36">
        <f>AP36</f>
        <v>0</v>
      </c>
      <c r="AH36">
        <f t="shared" si="32"/>
        <v>139.61</v>
      </c>
      <c r="AI36">
        <f t="shared" si="32"/>
        <v>0.48299999999999993</v>
      </c>
      <c r="AJ36">
        <f>AS36</f>
        <v>0</v>
      </c>
      <c r="AK36">
        <v>8340.73</v>
      </c>
      <c r="AL36">
        <v>7142.43</v>
      </c>
      <c r="AM36">
        <v>31.65</v>
      </c>
      <c r="AN36">
        <v>3.72</v>
      </c>
      <c r="AO36">
        <v>1166.65</v>
      </c>
      <c r="AP36">
        <v>0</v>
      </c>
      <c r="AQ36">
        <v>139.61</v>
      </c>
      <c r="AR36">
        <v>0.48299999999999993</v>
      </c>
      <c r="AS36">
        <v>0</v>
      </c>
      <c r="AT36">
        <v>103</v>
      </c>
      <c r="AU36">
        <v>60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76</v>
      </c>
      <c r="BM36">
        <v>226</v>
      </c>
      <c r="BN36">
        <v>0</v>
      </c>
      <c r="BP36">
        <v>0</v>
      </c>
      <c r="BQ36">
        <v>6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CF36">
        <v>0</v>
      </c>
      <c r="CG36">
        <v>0</v>
      </c>
      <c r="CM36">
        <v>0</v>
      </c>
      <c r="CN36" t="s">
        <v>385</v>
      </c>
      <c r="CO36">
        <v>0</v>
      </c>
      <c r="CP36">
        <f>(P36+Q36+S36)</f>
        <v>5450.07</v>
      </c>
      <c r="CQ36">
        <f>(AC36)*BC36</f>
        <v>7142.43</v>
      </c>
      <c r="CR36">
        <f>(AD36)*BB36</f>
        <v>31.65</v>
      </c>
      <c r="CS36">
        <f>(AE36)*BS36</f>
        <v>3.72</v>
      </c>
      <c r="CT36">
        <f>(AF36)*BA36</f>
        <v>1341.6475</v>
      </c>
      <c r="CU36">
        <f t="shared" si="33"/>
        <v>0</v>
      </c>
      <c r="CV36">
        <f t="shared" si="33"/>
        <v>139.61</v>
      </c>
      <c r="CW36">
        <f t="shared" si="33"/>
        <v>0.48299999999999993</v>
      </c>
      <c r="CX36">
        <f t="shared" si="33"/>
        <v>0</v>
      </c>
      <c r="CY36">
        <f>((((S36+R36)*AT36)/100)*IF((1=1),1,0.6)*IF((0=0),1,1.2)*IF((1=1),1,0.7))</f>
        <v>886.8609</v>
      </c>
      <c r="CZ36">
        <f>((((S36+R36)*AU36)/100)*IF((1=1),1,0.9))</f>
        <v>516.6179999999999</v>
      </c>
      <c r="DG36" t="s">
        <v>60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1003</v>
      </c>
      <c r="DV36" t="s">
        <v>32</v>
      </c>
      <c r="DW36" t="s">
        <v>77</v>
      </c>
      <c r="DX36">
        <v>100</v>
      </c>
      <c r="EE36">
        <v>4020410</v>
      </c>
      <c r="EF36">
        <v>6</v>
      </c>
      <c r="EG36" t="s">
        <v>21</v>
      </c>
      <c r="EH36">
        <v>90</v>
      </c>
      <c r="EI36" t="s">
        <v>71</v>
      </c>
      <c r="EJ36">
        <v>1</v>
      </c>
      <c r="EK36">
        <v>226</v>
      </c>
      <c r="EL36" t="s">
        <v>72</v>
      </c>
      <c r="EM36" t="s">
        <v>73</v>
      </c>
      <c r="EN36" s="2" t="s">
        <v>386</v>
      </c>
      <c r="ET36">
        <v>0.64</v>
      </c>
      <c r="EU36">
        <v>2</v>
      </c>
    </row>
    <row r="37" spans="1:151" ht="409.5">
      <c r="A37">
        <v>18</v>
      </c>
      <c r="B37">
        <v>1</v>
      </c>
      <c r="E37" t="s">
        <v>78</v>
      </c>
      <c r="F37" t="s">
        <v>79</v>
      </c>
      <c r="G37" t="s">
        <v>80</v>
      </c>
      <c r="H37" t="s">
        <v>81</v>
      </c>
      <c r="I37">
        <f>I36*J37</f>
        <v>15</v>
      </c>
      <c r="J37">
        <v>23.4375</v>
      </c>
      <c r="O37">
        <f>ROUND(CP37,2)</f>
        <v>311.85</v>
      </c>
      <c r="P37">
        <f>ROUND(CQ37*I37,2)</f>
        <v>311.85</v>
      </c>
      <c r="Q37">
        <f>ROUND(CR37*I37,2)</f>
        <v>0</v>
      </c>
      <c r="R37">
        <f>ROUND(CS37*I37,2)</f>
        <v>0</v>
      </c>
      <c r="S37">
        <f>ROUND(CT37*I37,2)</f>
        <v>0</v>
      </c>
      <c r="T37">
        <f>ROUND(CU37*I37,2)</f>
        <v>0</v>
      </c>
      <c r="U37">
        <f>ROUND(CV37*I37,2)</f>
        <v>0</v>
      </c>
      <c r="V37">
        <f>ROUND(CW37*I37,2)</f>
        <v>0</v>
      </c>
      <c r="W37">
        <f>ROUND(CX37*I37,2)</f>
        <v>0</v>
      </c>
      <c r="X37">
        <f t="shared" si="30"/>
        <v>0</v>
      </c>
      <c r="Y37">
        <f t="shared" si="30"/>
        <v>0</v>
      </c>
      <c r="AA37">
        <v>0</v>
      </c>
      <c r="AB37">
        <f>(AC37+AD37+AF37)</f>
        <v>20.79</v>
      </c>
      <c r="AC37">
        <f t="shared" si="31"/>
        <v>20.79</v>
      </c>
      <c r="AD37">
        <f t="shared" si="31"/>
        <v>0</v>
      </c>
      <c r="AE37">
        <f>(AN37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37">
        <f>((AO37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*1.15)</f>
        <v>0</v>
      </c>
      <c r="AG37">
        <f>AP37</f>
        <v>0</v>
      </c>
      <c r="AH37">
        <f t="shared" si="32"/>
        <v>0</v>
      </c>
      <c r="AI37">
        <f t="shared" si="32"/>
        <v>0</v>
      </c>
      <c r="AJ37">
        <f>AS37</f>
        <v>0</v>
      </c>
      <c r="AK37">
        <v>20.79</v>
      </c>
      <c r="AL37">
        <v>20.79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103</v>
      </c>
      <c r="AU37">
        <v>60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1</v>
      </c>
      <c r="BJ37" t="s">
        <v>82</v>
      </c>
      <c r="BM37">
        <v>226</v>
      </c>
      <c r="BN37">
        <v>0</v>
      </c>
      <c r="BP37">
        <v>0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CF37">
        <v>0</v>
      </c>
      <c r="CG37">
        <v>0</v>
      </c>
      <c r="CM37">
        <v>0</v>
      </c>
      <c r="CN37" t="s">
        <v>385</v>
      </c>
      <c r="CO37">
        <v>0</v>
      </c>
      <c r="CP37">
        <f>(P37+Q37+S37)</f>
        <v>311.85</v>
      </c>
      <c r="CQ37">
        <f>(AC37)*BC37</f>
        <v>20.79</v>
      </c>
      <c r="CR37">
        <f>(AD37)*BB37</f>
        <v>0</v>
      </c>
      <c r="CS37">
        <f>(AE37)*BS37</f>
        <v>0</v>
      </c>
      <c r="CT37">
        <f>(AF37)*BA37</f>
        <v>0</v>
      </c>
      <c r="CU37">
        <f t="shared" si="33"/>
        <v>0</v>
      </c>
      <c r="CV37">
        <f t="shared" si="33"/>
        <v>0</v>
      </c>
      <c r="CW37">
        <f t="shared" si="33"/>
        <v>0</v>
      </c>
      <c r="CX37">
        <f t="shared" si="33"/>
        <v>0</v>
      </c>
      <c r="CY37">
        <f>((((S37+R37)*AT37)/100)*IF((1=1),1,0.6)*IF((0=0),1,1.2)*IF((1=1),1,0.7))</f>
        <v>0</v>
      </c>
      <c r="CZ37">
        <f>((((S37+R37)*AU37)/100)*IF((1=1),1,0.9))</f>
        <v>0</v>
      </c>
      <c r="DG37" t="s">
        <v>60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1010</v>
      </c>
      <c r="DV37" t="s">
        <v>81</v>
      </c>
      <c r="DW37" t="s">
        <v>81</v>
      </c>
      <c r="DX37">
        <v>1</v>
      </c>
      <c r="EE37">
        <v>4020410</v>
      </c>
      <c r="EF37">
        <v>6</v>
      </c>
      <c r="EG37" t="s">
        <v>21</v>
      </c>
      <c r="EH37">
        <v>90</v>
      </c>
      <c r="EI37" t="s">
        <v>71</v>
      </c>
      <c r="EJ37">
        <v>1</v>
      </c>
      <c r="EK37">
        <v>226</v>
      </c>
      <c r="EL37" t="s">
        <v>72</v>
      </c>
      <c r="EM37" t="s">
        <v>73</v>
      </c>
      <c r="EN37" s="2" t="s">
        <v>386</v>
      </c>
      <c r="ET37">
        <v>15</v>
      </c>
      <c r="EU37">
        <v>2</v>
      </c>
    </row>
    <row r="38" spans="1:151" ht="409.5">
      <c r="A38">
        <v>18</v>
      </c>
      <c r="B38">
        <v>1</v>
      </c>
      <c r="E38" t="s">
        <v>83</v>
      </c>
      <c r="F38" t="s">
        <v>84</v>
      </c>
      <c r="G38" t="s">
        <v>85</v>
      </c>
      <c r="H38" t="s">
        <v>86</v>
      </c>
      <c r="I38">
        <f>I36*J38</f>
        <v>30</v>
      </c>
      <c r="J38">
        <v>46.875</v>
      </c>
      <c r="O38">
        <f>ROUND(CP38,2)</f>
        <v>359.4</v>
      </c>
      <c r="P38">
        <f>ROUND(CQ38*I38,2)</f>
        <v>359.4</v>
      </c>
      <c r="Q38">
        <f>ROUND(CR38*I38,2)</f>
        <v>0</v>
      </c>
      <c r="R38">
        <f>ROUND(CS38*I38,2)</f>
        <v>0</v>
      </c>
      <c r="S38">
        <f>ROUND(CT38*I38,2)</f>
        <v>0</v>
      </c>
      <c r="T38">
        <f>ROUND(CU38*I38,2)</f>
        <v>0</v>
      </c>
      <c r="U38">
        <f>ROUND(CV38*I38,2)</f>
        <v>0</v>
      </c>
      <c r="V38">
        <f>ROUND(CW38*I38,2)</f>
        <v>0</v>
      </c>
      <c r="W38">
        <f>ROUND(CX38*I38,2)</f>
        <v>0</v>
      </c>
      <c r="X38">
        <f t="shared" si="30"/>
        <v>0</v>
      </c>
      <c r="Y38">
        <f t="shared" si="30"/>
        <v>0</v>
      </c>
      <c r="AA38">
        <v>0</v>
      </c>
      <c r="AB38">
        <f>(AC38+AD38+AF38)</f>
        <v>11.98</v>
      </c>
      <c r="AC38">
        <f t="shared" si="31"/>
        <v>11.98</v>
      </c>
      <c r="AD38">
        <f t="shared" si="31"/>
        <v>0</v>
      </c>
      <c r="AE38">
        <f>(AN38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38">
        <f>((AO38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*1.15)</f>
        <v>0</v>
      </c>
      <c r="AG38">
        <f>AP38</f>
        <v>0</v>
      </c>
      <c r="AH38">
        <f t="shared" si="32"/>
        <v>0</v>
      </c>
      <c r="AI38">
        <f t="shared" si="32"/>
        <v>0</v>
      </c>
      <c r="AJ38">
        <f>AS38</f>
        <v>0</v>
      </c>
      <c r="AK38">
        <v>11.98</v>
      </c>
      <c r="AL38">
        <v>11.98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103</v>
      </c>
      <c r="AU38">
        <v>60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1</v>
      </c>
      <c r="BJ38" t="s">
        <v>87</v>
      </c>
      <c r="BM38">
        <v>226</v>
      </c>
      <c r="BN38">
        <v>0</v>
      </c>
      <c r="BP38">
        <v>0</v>
      </c>
      <c r="BQ38">
        <v>6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CF38">
        <v>0</v>
      </c>
      <c r="CG38">
        <v>0</v>
      </c>
      <c r="CM38">
        <v>0</v>
      </c>
      <c r="CN38" t="s">
        <v>385</v>
      </c>
      <c r="CO38">
        <v>0</v>
      </c>
      <c r="CP38">
        <f>(P38+Q38+S38)</f>
        <v>359.4</v>
      </c>
      <c r="CQ38">
        <f>(AC38)*BC38</f>
        <v>11.98</v>
      </c>
      <c r="CR38">
        <f>(AD38)*BB38</f>
        <v>0</v>
      </c>
      <c r="CS38">
        <f>(AE38)*BS38</f>
        <v>0</v>
      </c>
      <c r="CT38">
        <f>(AF38)*BA38</f>
        <v>0</v>
      </c>
      <c r="CU38">
        <f t="shared" si="33"/>
        <v>0</v>
      </c>
      <c r="CV38">
        <f t="shared" si="33"/>
        <v>0</v>
      </c>
      <c r="CW38">
        <f t="shared" si="33"/>
        <v>0</v>
      </c>
      <c r="CX38">
        <f t="shared" si="33"/>
        <v>0</v>
      </c>
      <c r="CY38">
        <f>((((S38+R38)*AT38)/100)*IF((1=1),1,0.6)*IF((0=0),1,1.2)*IF((1=1),1,0.7))</f>
        <v>0</v>
      </c>
      <c r="CZ38">
        <f>((((S38+R38)*AU38)/100)*IF((1=1),1,0.9))</f>
        <v>0</v>
      </c>
      <c r="DG38" t="s">
        <v>60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86</v>
      </c>
      <c r="DW38" t="s">
        <v>86</v>
      </c>
      <c r="DX38">
        <v>1</v>
      </c>
      <c r="EE38">
        <v>4020410</v>
      </c>
      <c r="EF38">
        <v>6</v>
      </c>
      <c r="EG38" t="s">
        <v>21</v>
      </c>
      <c r="EH38">
        <v>90</v>
      </c>
      <c r="EI38" t="s">
        <v>71</v>
      </c>
      <c r="EJ38">
        <v>1</v>
      </c>
      <c r="EK38">
        <v>226</v>
      </c>
      <c r="EL38" t="s">
        <v>72</v>
      </c>
      <c r="EM38" t="s">
        <v>73</v>
      </c>
      <c r="EN38" s="2" t="s">
        <v>386</v>
      </c>
      <c r="ET38">
        <v>30</v>
      </c>
      <c r="EU38">
        <v>2</v>
      </c>
    </row>
    <row r="40" spans="1:39" ht="12.75">
      <c r="A40" s="3">
        <v>51</v>
      </c>
      <c r="B40" s="3">
        <f>B20</f>
        <v>1</v>
      </c>
      <c r="C40" s="3">
        <f>A20</f>
        <v>3</v>
      </c>
      <c r="D40" s="3">
        <f>ROW(A20)</f>
        <v>20</v>
      </c>
      <c r="E40" s="3"/>
      <c r="F40" s="3" t="str">
        <f>IF(F20&lt;&gt;"",F20,"")</f>
        <v>Новая локальная смета</v>
      </c>
      <c r="G40" s="3" t="str">
        <f>IF(G20&lt;&gt;"",G20,"")</f>
        <v>Новая локальная смета</v>
      </c>
      <c r="H40" s="3"/>
      <c r="I40" s="3"/>
      <c r="J40" s="3"/>
      <c r="K40" s="3"/>
      <c r="L40" s="3"/>
      <c r="M40" s="3"/>
      <c r="N40" s="3"/>
      <c r="O40" s="3">
        <f aca="true" t="shared" si="34" ref="O40:Y40">ROUND(AB40,2)</f>
        <v>108802.7</v>
      </c>
      <c r="P40" s="3">
        <f t="shared" si="34"/>
        <v>91816.1</v>
      </c>
      <c r="Q40" s="3">
        <f t="shared" si="34"/>
        <v>2540.58</v>
      </c>
      <c r="R40" s="3">
        <f t="shared" si="34"/>
        <v>320.26</v>
      </c>
      <c r="S40" s="3">
        <f t="shared" si="34"/>
        <v>14446.02</v>
      </c>
      <c r="T40" s="3">
        <f t="shared" si="34"/>
        <v>0</v>
      </c>
      <c r="U40" s="3">
        <f t="shared" si="34"/>
        <v>1711.94</v>
      </c>
      <c r="V40" s="3">
        <f t="shared" si="34"/>
        <v>25.57</v>
      </c>
      <c r="W40" s="3">
        <f t="shared" si="34"/>
        <v>0</v>
      </c>
      <c r="X40" s="3">
        <f t="shared" si="34"/>
        <v>15566.65</v>
      </c>
      <c r="Y40" s="3">
        <f t="shared" si="34"/>
        <v>9543.92</v>
      </c>
      <c r="Z40" s="3"/>
      <c r="AA40" s="3"/>
      <c r="AB40" s="3">
        <f>ROUND(SUMIF(AA24:AA38,"=0",O24:O38),2)</f>
        <v>108802.7</v>
      </c>
      <c r="AC40" s="3">
        <f>ROUND(SUMIF(AA24:AA38,"=0",P24:P38),2)</f>
        <v>91816.1</v>
      </c>
      <c r="AD40" s="3">
        <f>ROUND(SUMIF(AA24:AA38,"=0",Q24:Q38),2)</f>
        <v>2540.58</v>
      </c>
      <c r="AE40" s="3">
        <f>ROUND(SUMIF(AA24:AA38,"=0",R24:R38),2)</f>
        <v>320.26</v>
      </c>
      <c r="AF40" s="3">
        <f>ROUND(SUMIF(AA24:AA38,"=0",S24:S38),2)</f>
        <v>14446.02</v>
      </c>
      <c r="AG40" s="3">
        <f>ROUND(SUMIF(AA24:AA38,"=0",T24:T38),2)</f>
        <v>0</v>
      </c>
      <c r="AH40" s="3">
        <f>ROUND(SUMIF(AA24:AA38,"=0",U24:U38),2)</f>
        <v>1711.94</v>
      </c>
      <c r="AI40" s="3">
        <f>ROUND(SUMIF(AA24:AA38,"=0",V24:V38),2)</f>
        <v>25.57</v>
      </c>
      <c r="AJ40" s="3">
        <f>ROUND(SUMIF(AA24:AA38,"=0",W24:W38),2)</f>
        <v>0</v>
      </c>
      <c r="AK40" s="3">
        <f>ROUND(SUMIF(AA24:AA38,"=0",X24:X38),2)</f>
        <v>15566.65</v>
      </c>
      <c r="AL40" s="3">
        <f>ROUND(SUMIF(AA24:AA38,"=0",Y24:Y38),2)</f>
        <v>9543.92</v>
      </c>
      <c r="AM40" s="3">
        <v>0</v>
      </c>
    </row>
    <row r="42" spans="1:14" ht="12.75">
      <c r="A42" s="4">
        <v>50</v>
      </c>
      <c r="B42" s="4">
        <v>0</v>
      </c>
      <c r="C42" s="4">
        <v>0</v>
      </c>
      <c r="D42" s="4">
        <v>1</v>
      </c>
      <c r="E42" s="4">
        <v>0</v>
      </c>
      <c r="F42" s="4">
        <f>Source!O40</f>
        <v>108802.7</v>
      </c>
      <c r="G42" s="4" t="s">
        <v>88</v>
      </c>
      <c r="H42" s="4" t="s">
        <v>89</v>
      </c>
      <c r="I42" s="4"/>
      <c r="J42" s="4"/>
      <c r="K42" s="4">
        <v>201</v>
      </c>
      <c r="L42" s="4">
        <v>1</v>
      </c>
      <c r="M42" s="4">
        <v>3</v>
      </c>
      <c r="N42" s="4" t="s">
        <v>6</v>
      </c>
    </row>
    <row r="43" spans="1:14" ht="12.75">
      <c r="A43" s="4">
        <v>50</v>
      </c>
      <c r="B43" s="4">
        <v>0</v>
      </c>
      <c r="C43" s="4">
        <v>0</v>
      </c>
      <c r="D43" s="4">
        <v>1</v>
      </c>
      <c r="E43" s="4">
        <v>202</v>
      </c>
      <c r="F43" s="4">
        <f>Source!P40</f>
        <v>91816.1</v>
      </c>
      <c r="G43" s="4" t="s">
        <v>90</v>
      </c>
      <c r="H43" s="4" t="s">
        <v>91</v>
      </c>
      <c r="I43" s="4"/>
      <c r="J43" s="4"/>
      <c r="K43" s="4">
        <v>202</v>
      </c>
      <c r="L43" s="4">
        <v>2</v>
      </c>
      <c r="M43" s="4">
        <v>3</v>
      </c>
      <c r="N43" s="4" t="s">
        <v>6</v>
      </c>
    </row>
    <row r="44" spans="1:14" ht="12.75">
      <c r="A44" s="4">
        <v>50</v>
      </c>
      <c r="B44" s="4">
        <v>0</v>
      </c>
      <c r="C44" s="4">
        <v>0</v>
      </c>
      <c r="D44" s="4">
        <v>1</v>
      </c>
      <c r="E44" s="4">
        <v>203</v>
      </c>
      <c r="F44" s="4">
        <f>Source!Q40</f>
        <v>2540.58</v>
      </c>
      <c r="G44" s="4" t="s">
        <v>92</v>
      </c>
      <c r="H44" s="4" t="s">
        <v>93</v>
      </c>
      <c r="I44" s="4"/>
      <c r="J44" s="4"/>
      <c r="K44" s="4">
        <v>203</v>
      </c>
      <c r="L44" s="4">
        <v>3</v>
      </c>
      <c r="M44" s="4">
        <v>3</v>
      </c>
      <c r="N44" s="4" t="s">
        <v>6</v>
      </c>
    </row>
    <row r="45" spans="1:14" ht="12.75">
      <c r="A45" s="4">
        <v>50</v>
      </c>
      <c r="B45" s="4">
        <v>0</v>
      </c>
      <c r="C45" s="4">
        <v>0</v>
      </c>
      <c r="D45" s="4">
        <v>1</v>
      </c>
      <c r="E45" s="4">
        <v>204</v>
      </c>
      <c r="F45" s="4">
        <f>Source!R40</f>
        <v>320.26</v>
      </c>
      <c r="G45" s="4" t="s">
        <v>94</v>
      </c>
      <c r="H45" s="4" t="s">
        <v>95</v>
      </c>
      <c r="I45" s="4"/>
      <c r="J45" s="4"/>
      <c r="K45" s="4">
        <v>204</v>
      </c>
      <c r="L45" s="4">
        <v>4</v>
      </c>
      <c r="M45" s="4">
        <v>3</v>
      </c>
      <c r="N45" s="4" t="s">
        <v>6</v>
      </c>
    </row>
    <row r="46" spans="1:14" ht="12.75">
      <c r="A46" s="4">
        <v>50</v>
      </c>
      <c r="B46" s="4">
        <v>0</v>
      </c>
      <c r="C46" s="4">
        <v>0</v>
      </c>
      <c r="D46" s="4">
        <v>1</v>
      </c>
      <c r="E46" s="4">
        <v>205</v>
      </c>
      <c r="F46" s="4">
        <f>Source!S40</f>
        <v>14446.02</v>
      </c>
      <c r="G46" s="4" t="s">
        <v>96</v>
      </c>
      <c r="H46" s="4" t="s">
        <v>97</v>
      </c>
      <c r="I46" s="4"/>
      <c r="J46" s="4"/>
      <c r="K46" s="4">
        <v>205</v>
      </c>
      <c r="L46" s="4">
        <v>5</v>
      </c>
      <c r="M46" s="4">
        <v>3</v>
      </c>
      <c r="N46" s="4" t="s">
        <v>6</v>
      </c>
    </row>
    <row r="47" spans="1:14" ht="12.75">
      <c r="A47" s="4">
        <v>50</v>
      </c>
      <c r="B47" s="4">
        <v>0</v>
      </c>
      <c r="C47" s="4">
        <v>0</v>
      </c>
      <c r="D47" s="4">
        <v>1</v>
      </c>
      <c r="E47" s="4">
        <v>206</v>
      </c>
      <c r="F47" s="4">
        <f>Source!T40</f>
        <v>0</v>
      </c>
      <c r="G47" s="4" t="s">
        <v>98</v>
      </c>
      <c r="H47" s="4" t="s">
        <v>99</v>
      </c>
      <c r="I47" s="4"/>
      <c r="J47" s="4"/>
      <c r="K47" s="4">
        <v>206</v>
      </c>
      <c r="L47" s="4">
        <v>6</v>
      </c>
      <c r="M47" s="4">
        <v>3</v>
      </c>
      <c r="N47" s="4" t="s">
        <v>6</v>
      </c>
    </row>
    <row r="48" spans="1:14" ht="12.75">
      <c r="A48" s="4">
        <v>50</v>
      </c>
      <c r="B48" s="4">
        <v>0</v>
      </c>
      <c r="C48" s="4">
        <v>0</v>
      </c>
      <c r="D48" s="4">
        <v>1</v>
      </c>
      <c r="E48" s="4">
        <v>207</v>
      </c>
      <c r="F48" s="4">
        <f>Source!U40</f>
        <v>1711.94</v>
      </c>
      <c r="G48" s="4" t="s">
        <v>100</v>
      </c>
      <c r="H48" s="4" t="s">
        <v>101</v>
      </c>
      <c r="I48" s="4"/>
      <c r="J48" s="4"/>
      <c r="K48" s="4">
        <v>207</v>
      </c>
      <c r="L48" s="4">
        <v>7</v>
      </c>
      <c r="M48" s="4">
        <v>3</v>
      </c>
      <c r="N48" s="4" t="s">
        <v>6</v>
      </c>
    </row>
    <row r="49" spans="1:14" ht="12.75">
      <c r="A49" s="4">
        <v>50</v>
      </c>
      <c r="B49" s="4">
        <v>0</v>
      </c>
      <c r="C49" s="4">
        <v>0</v>
      </c>
      <c r="D49" s="4">
        <v>1</v>
      </c>
      <c r="E49" s="4">
        <v>208</v>
      </c>
      <c r="F49" s="4">
        <f>Source!V40</f>
        <v>25.57</v>
      </c>
      <c r="G49" s="4" t="s">
        <v>102</v>
      </c>
      <c r="H49" s="4" t="s">
        <v>103</v>
      </c>
      <c r="I49" s="4"/>
      <c r="J49" s="4"/>
      <c r="K49" s="4">
        <v>208</v>
      </c>
      <c r="L49" s="4">
        <v>8</v>
      </c>
      <c r="M49" s="4">
        <v>3</v>
      </c>
      <c r="N49" s="4" t="s">
        <v>6</v>
      </c>
    </row>
    <row r="50" spans="1:14" ht="12.75">
      <c r="A50" s="4">
        <v>50</v>
      </c>
      <c r="B50" s="4">
        <v>0</v>
      </c>
      <c r="C50" s="4">
        <v>0</v>
      </c>
      <c r="D50" s="4">
        <v>1</v>
      </c>
      <c r="E50" s="4">
        <v>209</v>
      </c>
      <c r="F50" s="4">
        <f>Source!W40</f>
        <v>0</v>
      </c>
      <c r="G50" s="4" t="s">
        <v>104</v>
      </c>
      <c r="H50" s="4" t="s">
        <v>105</v>
      </c>
      <c r="I50" s="4"/>
      <c r="J50" s="4"/>
      <c r="K50" s="4">
        <v>209</v>
      </c>
      <c r="L50" s="4">
        <v>9</v>
      </c>
      <c r="M50" s="4">
        <v>3</v>
      </c>
      <c r="N50" s="4" t="s">
        <v>6</v>
      </c>
    </row>
    <row r="51" spans="1:14" ht="12.75">
      <c r="A51" s="4">
        <v>50</v>
      </c>
      <c r="B51" s="4">
        <v>0</v>
      </c>
      <c r="C51" s="4">
        <v>0</v>
      </c>
      <c r="D51" s="4">
        <v>1</v>
      </c>
      <c r="E51" s="4">
        <v>0</v>
      </c>
      <c r="F51" s="4">
        <f>Source!X40</f>
        <v>15566.65</v>
      </c>
      <c r="G51" s="4" t="s">
        <v>106</v>
      </c>
      <c r="H51" s="4" t="s">
        <v>107</v>
      </c>
      <c r="I51" s="4"/>
      <c r="J51" s="4"/>
      <c r="K51" s="4">
        <v>210</v>
      </c>
      <c r="L51" s="4">
        <v>10</v>
      </c>
      <c r="M51" s="4">
        <v>3</v>
      </c>
      <c r="N51" s="4" t="s">
        <v>6</v>
      </c>
    </row>
    <row r="52" spans="1:14" ht="12.75">
      <c r="A52" s="4">
        <v>50</v>
      </c>
      <c r="B52" s="4">
        <v>0</v>
      </c>
      <c r="C52" s="4">
        <v>0</v>
      </c>
      <c r="D52" s="4">
        <v>1</v>
      </c>
      <c r="E52" s="4">
        <v>0</v>
      </c>
      <c r="F52" s="4">
        <f>Source!Y40</f>
        <v>9543.92</v>
      </c>
      <c r="G52" s="4" t="s">
        <v>108</v>
      </c>
      <c r="H52" s="4" t="s">
        <v>109</v>
      </c>
      <c r="I52" s="4"/>
      <c r="J52" s="4"/>
      <c r="K52" s="4">
        <v>211</v>
      </c>
      <c r="L52" s="4">
        <v>11</v>
      </c>
      <c r="M52" s="4">
        <v>3</v>
      </c>
      <c r="N52" s="4" t="s">
        <v>6</v>
      </c>
    </row>
    <row r="53" spans="1:14" ht="12.75">
      <c r="A53" s="4">
        <v>50</v>
      </c>
      <c r="B53" s="4">
        <v>1</v>
      </c>
      <c r="C53" s="4">
        <v>0</v>
      </c>
      <c r="D53" s="4">
        <v>2</v>
      </c>
      <c r="E53" s="4">
        <v>201</v>
      </c>
      <c r="F53" s="4">
        <f>ROUND(ROUND(Source!F42,0),2)</f>
        <v>108803</v>
      </c>
      <c r="G53" s="4" t="s">
        <v>110</v>
      </c>
      <c r="H53" s="4" t="s">
        <v>111</v>
      </c>
      <c r="I53" s="4"/>
      <c r="J53" s="4"/>
      <c r="K53" s="4">
        <v>212</v>
      </c>
      <c r="L53" s="4">
        <v>12</v>
      </c>
      <c r="M53" s="4">
        <v>0</v>
      </c>
      <c r="N53" s="4" t="s">
        <v>6</v>
      </c>
    </row>
    <row r="54" spans="1:14" ht="12.75">
      <c r="A54" s="4">
        <v>50</v>
      </c>
      <c r="B54" s="4">
        <v>1</v>
      </c>
      <c r="C54" s="4">
        <v>0</v>
      </c>
      <c r="D54" s="4">
        <v>2</v>
      </c>
      <c r="E54" s="4">
        <v>210</v>
      </c>
      <c r="F54" s="4">
        <f>ROUND(ROUND(Source!F51,0),2)</f>
        <v>15567</v>
      </c>
      <c r="G54" s="4" t="s">
        <v>112</v>
      </c>
      <c r="H54" s="4" t="s">
        <v>107</v>
      </c>
      <c r="I54" s="4"/>
      <c r="J54" s="4"/>
      <c r="K54" s="4">
        <v>212</v>
      </c>
      <c r="L54" s="4">
        <v>13</v>
      </c>
      <c r="M54" s="4">
        <v>0</v>
      </c>
      <c r="N54" s="4" t="s">
        <v>6</v>
      </c>
    </row>
    <row r="55" spans="1:14" ht="12.75">
      <c r="A55" s="4">
        <v>50</v>
      </c>
      <c r="B55" s="4">
        <v>1</v>
      </c>
      <c r="C55" s="4">
        <v>0</v>
      </c>
      <c r="D55" s="4">
        <v>2</v>
      </c>
      <c r="E55" s="4">
        <v>211</v>
      </c>
      <c r="F55" s="4">
        <f>ROUND(ROUND(Source!F52,0),2)</f>
        <v>9544</v>
      </c>
      <c r="G55" s="4" t="s">
        <v>113</v>
      </c>
      <c r="H55" s="4" t="s">
        <v>109</v>
      </c>
      <c r="I55" s="4"/>
      <c r="J55" s="4"/>
      <c r="K55" s="4">
        <v>212</v>
      </c>
      <c r="L55" s="4">
        <v>14</v>
      </c>
      <c r="M55" s="4">
        <v>0</v>
      </c>
      <c r="N55" s="4" t="s">
        <v>6</v>
      </c>
    </row>
    <row r="56" spans="1:14" ht="12.75">
      <c r="A56" s="4">
        <v>50</v>
      </c>
      <c r="B56" s="4">
        <v>1</v>
      </c>
      <c r="C56" s="4">
        <v>0</v>
      </c>
      <c r="D56" s="4">
        <v>2</v>
      </c>
      <c r="E56" s="4">
        <v>0</v>
      </c>
      <c r="F56" s="4">
        <f>ROUND(Source!F53+Source!F54+Source!F55,2)</f>
        <v>133914</v>
      </c>
      <c r="G56" s="4" t="s">
        <v>114</v>
      </c>
      <c r="H56" s="4" t="s">
        <v>115</v>
      </c>
      <c r="I56" s="4"/>
      <c r="J56" s="4"/>
      <c r="K56" s="4">
        <v>212</v>
      </c>
      <c r="L56" s="4">
        <v>15</v>
      </c>
      <c r="M56" s="4">
        <v>0</v>
      </c>
      <c r="N56" s="4" t="s">
        <v>6</v>
      </c>
    </row>
    <row r="58" spans="1:39" ht="12.75">
      <c r="A58" s="3">
        <v>51</v>
      </c>
      <c r="B58" s="3">
        <f>B12</f>
        <v>1</v>
      </c>
      <c r="C58" s="3">
        <f>A12</f>
        <v>1</v>
      </c>
      <c r="D58" s="3">
        <f>ROW(A12)</f>
        <v>12</v>
      </c>
      <c r="E58" s="3"/>
      <c r="F58" s="3" t="str">
        <f>IF(F12&lt;&gt;"",F12,"")</f>
        <v>Новый объект</v>
      </c>
      <c r="G58" s="3" t="str">
        <f>IF(G12&lt;&gt;"",G12,"")</f>
        <v>Ремонтные работы по МОУ Правдинская СОШ в п.Дивный</v>
      </c>
      <c r="H58" s="3"/>
      <c r="I58" s="3"/>
      <c r="J58" s="3"/>
      <c r="K58" s="3"/>
      <c r="L58" s="3"/>
      <c r="M58" s="3"/>
      <c r="N58" s="3"/>
      <c r="O58" s="3">
        <f aca="true" t="shared" si="35" ref="O58:Y58">ROUND(O40,2)</f>
        <v>108802.7</v>
      </c>
      <c r="P58" s="3">
        <f t="shared" si="35"/>
        <v>91816.1</v>
      </c>
      <c r="Q58" s="3">
        <f t="shared" si="35"/>
        <v>2540.58</v>
      </c>
      <c r="R58" s="3">
        <f t="shared" si="35"/>
        <v>320.26</v>
      </c>
      <c r="S58" s="3">
        <f t="shared" si="35"/>
        <v>14446.02</v>
      </c>
      <c r="T58" s="3">
        <f t="shared" si="35"/>
        <v>0</v>
      </c>
      <c r="U58" s="3">
        <f t="shared" si="35"/>
        <v>1711.94</v>
      </c>
      <c r="V58" s="3">
        <f t="shared" si="35"/>
        <v>25.57</v>
      </c>
      <c r="W58" s="3">
        <f t="shared" si="35"/>
        <v>0</v>
      </c>
      <c r="X58" s="3">
        <f t="shared" si="35"/>
        <v>15566.65</v>
      </c>
      <c r="Y58" s="3">
        <f t="shared" si="35"/>
        <v>9543.92</v>
      </c>
      <c r="Z58" s="3"/>
      <c r="AA58" s="3"/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</row>
    <row r="60" spans="1:14" ht="12.75">
      <c r="A60" s="4">
        <v>50</v>
      </c>
      <c r="B60" s="4">
        <v>0</v>
      </c>
      <c r="C60" s="4">
        <v>0</v>
      </c>
      <c r="D60" s="4">
        <v>1</v>
      </c>
      <c r="E60" s="4">
        <v>201</v>
      </c>
      <c r="F60" s="4">
        <f>Source!O58</f>
        <v>108802.7</v>
      </c>
      <c r="G60" s="4" t="s">
        <v>88</v>
      </c>
      <c r="H60" s="4" t="s">
        <v>89</v>
      </c>
      <c r="I60" s="4"/>
      <c r="J60" s="4"/>
      <c r="K60" s="4">
        <v>201</v>
      </c>
      <c r="L60" s="4">
        <v>1</v>
      </c>
      <c r="M60" s="4">
        <v>3</v>
      </c>
      <c r="N60" s="4" t="s">
        <v>6</v>
      </c>
    </row>
    <row r="61" spans="1:14" ht="12.75">
      <c r="A61" s="4">
        <v>50</v>
      </c>
      <c r="B61" s="4">
        <v>0</v>
      </c>
      <c r="C61" s="4">
        <v>0</v>
      </c>
      <c r="D61" s="4">
        <v>1</v>
      </c>
      <c r="E61" s="4">
        <v>202</v>
      </c>
      <c r="F61" s="4">
        <f>Source!P58</f>
        <v>91816.1</v>
      </c>
      <c r="G61" s="4" t="s">
        <v>90</v>
      </c>
      <c r="H61" s="4" t="s">
        <v>91</v>
      </c>
      <c r="I61" s="4"/>
      <c r="J61" s="4"/>
      <c r="K61" s="4">
        <v>202</v>
      </c>
      <c r="L61" s="4">
        <v>2</v>
      </c>
      <c r="M61" s="4">
        <v>3</v>
      </c>
      <c r="N61" s="4" t="s">
        <v>6</v>
      </c>
    </row>
    <row r="62" spans="1:14" ht="12.75">
      <c r="A62" s="4">
        <v>50</v>
      </c>
      <c r="B62" s="4">
        <v>0</v>
      </c>
      <c r="C62" s="4">
        <v>0</v>
      </c>
      <c r="D62" s="4">
        <v>1</v>
      </c>
      <c r="E62" s="4">
        <v>203</v>
      </c>
      <c r="F62" s="4">
        <f>Source!Q58</f>
        <v>2540.58</v>
      </c>
      <c r="G62" s="4" t="s">
        <v>92</v>
      </c>
      <c r="H62" s="4" t="s">
        <v>93</v>
      </c>
      <c r="I62" s="4"/>
      <c r="J62" s="4"/>
      <c r="K62" s="4">
        <v>203</v>
      </c>
      <c r="L62" s="4">
        <v>3</v>
      </c>
      <c r="M62" s="4">
        <v>3</v>
      </c>
      <c r="N62" s="4" t="s">
        <v>6</v>
      </c>
    </row>
    <row r="63" spans="1:14" ht="12.75">
      <c r="A63" s="4">
        <v>50</v>
      </c>
      <c r="B63" s="4">
        <v>0</v>
      </c>
      <c r="C63" s="4">
        <v>0</v>
      </c>
      <c r="D63" s="4">
        <v>1</v>
      </c>
      <c r="E63" s="4">
        <v>204</v>
      </c>
      <c r="F63" s="4">
        <f>Source!R58</f>
        <v>320.26</v>
      </c>
      <c r="G63" s="4" t="s">
        <v>94</v>
      </c>
      <c r="H63" s="4" t="s">
        <v>95</v>
      </c>
      <c r="I63" s="4"/>
      <c r="J63" s="4"/>
      <c r="K63" s="4">
        <v>204</v>
      </c>
      <c r="L63" s="4">
        <v>4</v>
      </c>
      <c r="M63" s="4">
        <v>3</v>
      </c>
      <c r="N63" s="4" t="s">
        <v>6</v>
      </c>
    </row>
    <row r="64" spans="1:14" ht="12.75">
      <c r="A64" s="4">
        <v>50</v>
      </c>
      <c r="B64" s="4">
        <v>0</v>
      </c>
      <c r="C64" s="4">
        <v>0</v>
      </c>
      <c r="D64" s="4">
        <v>1</v>
      </c>
      <c r="E64" s="4">
        <v>205</v>
      </c>
      <c r="F64" s="4">
        <f>Source!S58</f>
        <v>14446.02</v>
      </c>
      <c r="G64" s="4" t="s">
        <v>96</v>
      </c>
      <c r="H64" s="4" t="s">
        <v>97</v>
      </c>
      <c r="I64" s="4"/>
      <c r="J64" s="4"/>
      <c r="K64" s="4">
        <v>205</v>
      </c>
      <c r="L64" s="4">
        <v>5</v>
      </c>
      <c r="M64" s="4">
        <v>3</v>
      </c>
      <c r="N64" s="4" t="s">
        <v>6</v>
      </c>
    </row>
    <row r="65" spans="1:14" ht="12.75">
      <c r="A65" s="4">
        <v>50</v>
      </c>
      <c r="B65" s="4">
        <v>0</v>
      </c>
      <c r="C65" s="4">
        <v>0</v>
      </c>
      <c r="D65" s="4">
        <v>1</v>
      </c>
      <c r="E65" s="4">
        <v>206</v>
      </c>
      <c r="F65" s="4">
        <f>Source!T58</f>
        <v>0</v>
      </c>
      <c r="G65" s="4" t="s">
        <v>98</v>
      </c>
      <c r="H65" s="4" t="s">
        <v>99</v>
      </c>
      <c r="I65" s="4"/>
      <c r="J65" s="4"/>
      <c r="K65" s="4">
        <v>206</v>
      </c>
      <c r="L65" s="4">
        <v>6</v>
      </c>
      <c r="M65" s="4">
        <v>3</v>
      </c>
      <c r="N65" s="4" t="s">
        <v>6</v>
      </c>
    </row>
    <row r="66" spans="1:14" ht="12.75">
      <c r="A66" s="4">
        <v>50</v>
      </c>
      <c r="B66" s="4">
        <v>0</v>
      </c>
      <c r="C66" s="4">
        <v>0</v>
      </c>
      <c r="D66" s="4">
        <v>1</v>
      </c>
      <c r="E66" s="4">
        <v>207</v>
      </c>
      <c r="F66" s="4">
        <f>Source!U58</f>
        <v>1711.94</v>
      </c>
      <c r="G66" s="4" t="s">
        <v>100</v>
      </c>
      <c r="H66" s="4" t="s">
        <v>101</v>
      </c>
      <c r="I66" s="4"/>
      <c r="J66" s="4"/>
      <c r="K66" s="4">
        <v>207</v>
      </c>
      <c r="L66" s="4">
        <v>7</v>
      </c>
      <c r="M66" s="4">
        <v>3</v>
      </c>
      <c r="N66" s="4" t="s">
        <v>6</v>
      </c>
    </row>
    <row r="67" spans="1:14" ht="12.75">
      <c r="A67" s="4">
        <v>50</v>
      </c>
      <c r="B67" s="4">
        <v>0</v>
      </c>
      <c r="C67" s="4">
        <v>0</v>
      </c>
      <c r="D67" s="4">
        <v>1</v>
      </c>
      <c r="E67" s="4">
        <v>208</v>
      </c>
      <c r="F67" s="4">
        <f>Source!V58</f>
        <v>25.57</v>
      </c>
      <c r="G67" s="4" t="s">
        <v>102</v>
      </c>
      <c r="H67" s="4" t="s">
        <v>103</v>
      </c>
      <c r="I67" s="4"/>
      <c r="J67" s="4"/>
      <c r="K67" s="4">
        <v>208</v>
      </c>
      <c r="L67" s="4">
        <v>8</v>
      </c>
      <c r="M67" s="4">
        <v>3</v>
      </c>
      <c r="N67" s="4" t="s">
        <v>6</v>
      </c>
    </row>
    <row r="68" spans="1:14" ht="12.75">
      <c r="A68" s="4">
        <v>50</v>
      </c>
      <c r="B68" s="4">
        <v>0</v>
      </c>
      <c r="C68" s="4">
        <v>0</v>
      </c>
      <c r="D68" s="4">
        <v>1</v>
      </c>
      <c r="E68" s="4">
        <v>209</v>
      </c>
      <c r="F68" s="4">
        <f>Source!W58</f>
        <v>0</v>
      </c>
      <c r="G68" s="4" t="s">
        <v>104</v>
      </c>
      <c r="H68" s="4" t="s">
        <v>105</v>
      </c>
      <c r="I68" s="4"/>
      <c r="J68" s="4"/>
      <c r="K68" s="4">
        <v>209</v>
      </c>
      <c r="L68" s="4">
        <v>9</v>
      </c>
      <c r="M68" s="4">
        <v>3</v>
      </c>
      <c r="N68" s="4" t="s">
        <v>6</v>
      </c>
    </row>
    <row r="69" spans="1:14" ht="12.75">
      <c r="A69" s="4">
        <v>50</v>
      </c>
      <c r="B69" s="4">
        <v>0</v>
      </c>
      <c r="C69" s="4">
        <v>0</v>
      </c>
      <c r="D69" s="4">
        <v>1</v>
      </c>
      <c r="E69" s="4">
        <v>210</v>
      </c>
      <c r="F69" s="4">
        <f>Source!X58</f>
        <v>15566.65</v>
      </c>
      <c r="G69" s="4" t="s">
        <v>106</v>
      </c>
      <c r="H69" s="4" t="s">
        <v>107</v>
      </c>
      <c r="I69" s="4"/>
      <c r="J69" s="4"/>
      <c r="K69" s="4">
        <v>210</v>
      </c>
      <c r="L69" s="4">
        <v>10</v>
      </c>
      <c r="M69" s="4">
        <v>3</v>
      </c>
      <c r="N69" s="4" t="s">
        <v>6</v>
      </c>
    </row>
    <row r="70" spans="1:14" ht="12.75">
      <c r="A70" s="4">
        <v>50</v>
      </c>
      <c r="B70" s="4">
        <v>0</v>
      </c>
      <c r="C70" s="4">
        <v>0</v>
      </c>
      <c r="D70" s="4">
        <v>1</v>
      </c>
      <c r="E70" s="4">
        <v>211</v>
      </c>
      <c r="F70" s="4">
        <f>Source!Y58</f>
        <v>9543.92</v>
      </c>
      <c r="G70" s="4" t="s">
        <v>108</v>
      </c>
      <c r="H70" s="4" t="s">
        <v>109</v>
      </c>
      <c r="I70" s="4"/>
      <c r="J70" s="4"/>
      <c r="K70" s="4">
        <v>211</v>
      </c>
      <c r="L70" s="4">
        <v>11</v>
      </c>
      <c r="M70" s="4">
        <v>3</v>
      </c>
      <c r="N70" s="4" t="s">
        <v>6</v>
      </c>
    </row>
    <row r="73" spans="1:13" ht="12.75">
      <c r="A73">
        <v>70</v>
      </c>
      <c r="B73">
        <v>1</v>
      </c>
      <c r="D73">
        <v>0</v>
      </c>
      <c r="E73" t="s">
        <v>116</v>
      </c>
      <c r="F73" t="s">
        <v>117</v>
      </c>
      <c r="G73">
        <v>1</v>
      </c>
      <c r="H73">
        <v>0.85</v>
      </c>
      <c r="I73" t="s">
        <v>118</v>
      </c>
      <c r="J73">
        <v>0</v>
      </c>
      <c r="K73">
        <v>0</v>
      </c>
    </row>
    <row r="74" spans="1:13" ht="12.75">
      <c r="A74">
        <v>70</v>
      </c>
      <c r="B74">
        <v>1</v>
      </c>
      <c r="D74">
        <v>0</v>
      </c>
      <c r="E74" t="s">
        <v>119</v>
      </c>
      <c r="F74" t="s">
        <v>120</v>
      </c>
      <c r="G74">
        <v>1</v>
      </c>
      <c r="H74">
        <v>0.94</v>
      </c>
      <c r="I74" t="s">
        <v>121</v>
      </c>
      <c r="J74">
        <v>0</v>
      </c>
      <c r="K74">
        <v>0</v>
      </c>
    </row>
    <row r="75" spans="1:13" ht="12.75">
      <c r="A75">
        <v>70</v>
      </c>
      <c r="B75">
        <v>1</v>
      </c>
      <c r="D75">
        <v>1</v>
      </c>
      <c r="E75" t="s">
        <v>122</v>
      </c>
      <c r="F75" t="s">
        <v>123</v>
      </c>
      <c r="G75">
        <v>1</v>
      </c>
      <c r="H75">
        <v>1</v>
      </c>
      <c r="I75" t="s">
        <v>124</v>
      </c>
      <c r="J75">
        <v>0</v>
      </c>
      <c r="K75">
        <v>0</v>
      </c>
    </row>
    <row r="76" spans="1:13" ht="12.75">
      <c r="A76">
        <v>70</v>
      </c>
      <c r="B76">
        <v>1</v>
      </c>
      <c r="D76">
        <v>55</v>
      </c>
      <c r="E76" t="s">
        <v>125</v>
      </c>
      <c r="F76" t="s">
        <v>126</v>
      </c>
      <c r="G76">
        <v>1</v>
      </c>
      <c r="H76">
        <v>1</v>
      </c>
      <c r="I76" t="s">
        <v>127</v>
      </c>
      <c r="J76">
        <v>0</v>
      </c>
      <c r="K76">
        <v>0</v>
      </c>
    </row>
    <row r="77" spans="1:13" ht="12.75">
      <c r="A77">
        <v>70</v>
      </c>
      <c r="B77">
        <v>1</v>
      </c>
      <c r="D77">
        <v>0</v>
      </c>
      <c r="E77" t="s">
        <v>128</v>
      </c>
      <c r="F77" t="s">
        <v>129</v>
      </c>
      <c r="G77">
        <v>0</v>
      </c>
      <c r="H77">
        <v>0</v>
      </c>
      <c r="I77" t="s">
        <v>130</v>
      </c>
      <c r="J77">
        <v>0</v>
      </c>
      <c r="K77">
        <v>0</v>
      </c>
    </row>
    <row r="78" spans="1:13" ht="12.75">
      <c r="A78">
        <v>70</v>
      </c>
      <c r="B78">
        <v>1</v>
      </c>
      <c r="D78">
        <v>52</v>
      </c>
      <c r="E78" t="s">
        <v>131</v>
      </c>
      <c r="F78" t="s">
        <v>132</v>
      </c>
      <c r="G78">
        <v>1</v>
      </c>
      <c r="H78">
        <v>1</v>
      </c>
      <c r="I78" t="s">
        <v>133</v>
      </c>
      <c r="J78">
        <v>0</v>
      </c>
      <c r="K78">
        <v>0</v>
      </c>
    </row>
    <row r="79" spans="1:13" ht="12.75">
      <c r="A79">
        <v>70</v>
      </c>
      <c r="B79">
        <v>1</v>
      </c>
      <c r="D79">
        <v>56</v>
      </c>
      <c r="E79" t="s">
        <v>134</v>
      </c>
      <c r="F79" t="s">
        <v>135</v>
      </c>
      <c r="G79">
        <v>1</v>
      </c>
      <c r="H79">
        <v>1</v>
      </c>
      <c r="I79" t="s">
        <v>136</v>
      </c>
      <c r="J79">
        <v>0</v>
      </c>
      <c r="K79">
        <v>0</v>
      </c>
    </row>
    <row r="80" spans="1:13" ht="12.75">
      <c r="A80">
        <v>70</v>
      </c>
      <c r="B80">
        <v>1</v>
      </c>
      <c r="D80">
        <v>53</v>
      </c>
      <c r="E80" t="s">
        <v>137</v>
      </c>
      <c r="F80" t="s">
        <v>138</v>
      </c>
      <c r="G80">
        <v>0</v>
      </c>
      <c r="H80">
        <v>0</v>
      </c>
      <c r="I80" t="s">
        <v>139</v>
      </c>
      <c r="J80">
        <v>0</v>
      </c>
      <c r="K80">
        <v>0</v>
      </c>
    </row>
    <row r="81" spans="1:13" ht="12.75">
      <c r="A81">
        <v>70</v>
      </c>
      <c r="B81">
        <v>1</v>
      </c>
      <c r="D81">
        <v>24</v>
      </c>
      <c r="E81" t="s">
        <v>140</v>
      </c>
      <c r="F81" t="s">
        <v>141</v>
      </c>
      <c r="G81">
        <v>1</v>
      </c>
      <c r="H81">
        <v>1.68</v>
      </c>
      <c r="I81" t="s">
        <v>142</v>
      </c>
      <c r="J81">
        <v>0</v>
      </c>
      <c r="K81">
        <v>0</v>
      </c>
    </row>
    <row r="82" spans="1:13" ht="12.75">
      <c r="A82">
        <v>70</v>
      </c>
      <c r="B82">
        <v>1</v>
      </c>
      <c r="D82">
        <v>25</v>
      </c>
      <c r="E82" t="s">
        <v>143</v>
      </c>
      <c r="F82" t="s">
        <v>144</v>
      </c>
      <c r="G82">
        <v>1</v>
      </c>
      <c r="H82">
        <v>2.05</v>
      </c>
      <c r="I82" t="s">
        <v>145</v>
      </c>
      <c r="J82">
        <v>0</v>
      </c>
      <c r="K82">
        <v>0</v>
      </c>
    </row>
    <row r="83" spans="1:13" ht="12.75">
      <c r="A83">
        <v>70</v>
      </c>
      <c r="B83">
        <v>1</v>
      </c>
      <c r="D83">
        <v>26</v>
      </c>
      <c r="E83" t="s">
        <v>146</v>
      </c>
      <c r="F83" t="s">
        <v>147</v>
      </c>
      <c r="G83">
        <v>1</v>
      </c>
      <c r="H83">
        <v>2.4</v>
      </c>
      <c r="I83" t="s">
        <v>148</v>
      </c>
      <c r="J83">
        <v>0</v>
      </c>
      <c r="K83">
        <v>0</v>
      </c>
    </row>
    <row r="84" spans="1:13" ht="12.75">
      <c r="A84">
        <v>70</v>
      </c>
      <c r="B84">
        <v>1</v>
      </c>
      <c r="D84">
        <v>27</v>
      </c>
      <c r="E84" t="s">
        <v>149</v>
      </c>
      <c r="F84" t="s">
        <v>150</v>
      </c>
      <c r="G84">
        <v>1</v>
      </c>
      <c r="H84">
        <v>2.8</v>
      </c>
      <c r="I84" t="s">
        <v>151</v>
      </c>
      <c r="J84">
        <v>0</v>
      </c>
      <c r="K84">
        <v>0</v>
      </c>
    </row>
    <row r="85" spans="1:13" ht="12.75">
      <c r="A85">
        <v>70</v>
      </c>
      <c r="B85">
        <v>1</v>
      </c>
      <c r="D85">
        <v>54</v>
      </c>
      <c r="E85" t="s">
        <v>152</v>
      </c>
      <c r="F85" t="s">
        <v>153</v>
      </c>
      <c r="G85">
        <v>0</v>
      </c>
      <c r="H85">
        <v>0</v>
      </c>
      <c r="I85" t="s">
        <v>139</v>
      </c>
      <c r="J85">
        <v>0</v>
      </c>
      <c r="K85">
        <v>0</v>
      </c>
    </row>
    <row r="86" spans="1:13" ht="12.75">
      <c r="A86">
        <v>70</v>
      </c>
      <c r="B86">
        <v>1</v>
      </c>
      <c r="D86">
        <v>28</v>
      </c>
      <c r="E86" t="s">
        <v>154</v>
      </c>
      <c r="F86" t="s">
        <v>155</v>
      </c>
      <c r="G86">
        <v>1</v>
      </c>
      <c r="H86">
        <v>3</v>
      </c>
      <c r="I86" t="s">
        <v>156</v>
      </c>
      <c r="J86">
        <v>0</v>
      </c>
      <c r="K86">
        <v>0</v>
      </c>
    </row>
    <row r="87" spans="1:13" ht="12.75">
      <c r="A87">
        <v>70</v>
      </c>
      <c r="B87">
        <v>1</v>
      </c>
      <c r="D87">
        <v>29</v>
      </c>
      <c r="E87" t="s">
        <v>157</v>
      </c>
      <c r="F87" t="s">
        <v>158</v>
      </c>
      <c r="G87">
        <v>1</v>
      </c>
      <c r="H87">
        <v>2</v>
      </c>
      <c r="I87" t="s">
        <v>159</v>
      </c>
      <c r="J87">
        <v>0</v>
      </c>
      <c r="K87">
        <v>0</v>
      </c>
    </row>
    <row r="88" spans="1:13" ht="12.75">
      <c r="A88">
        <v>70</v>
      </c>
      <c r="B88">
        <v>1</v>
      </c>
      <c r="D88">
        <v>2</v>
      </c>
      <c r="E88" t="s">
        <v>160</v>
      </c>
      <c r="F88" t="s">
        <v>161</v>
      </c>
      <c r="G88">
        <v>1</v>
      </c>
      <c r="H88">
        <v>1.2</v>
      </c>
      <c r="I88" t="s">
        <v>162</v>
      </c>
      <c r="J88">
        <v>0</v>
      </c>
      <c r="K88">
        <v>0</v>
      </c>
    </row>
    <row r="89" spans="1:13" ht="12.75">
      <c r="A89">
        <v>70</v>
      </c>
      <c r="B89">
        <v>1</v>
      </c>
      <c r="D89">
        <v>4</v>
      </c>
      <c r="E89" t="s">
        <v>163</v>
      </c>
      <c r="F89" t="s">
        <v>164</v>
      </c>
      <c r="G89">
        <v>1</v>
      </c>
      <c r="H89">
        <v>1.2</v>
      </c>
      <c r="I89" t="s">
        <v>165</v>
      </c>
      <c r="J89">
        <v>0</v>
      </c>
      <c r="K89">
        <v>0</v>
      </c>
    </row>
    <row r="90" spans="1:13" ht="12.75">
      <c r="A90">
        <v>70</v>
      </c>
      <c r="B90">
        <v>1</v>
      </c>
      <c r="D90">
        <v>3</v>
      </c>
      <c r="E90" t="s">
        <v>166</v>
      </c>
      <c r="F90" t="s">
        <v>167</v>
      </c>
      <c r="G90">
        <v>1</v>
      </c>
      <c r="H90">
        <v>1.35</v>
      </c>
      <c r="I90" t="s">
        <v>168</v>
      </c>
      <c r="J90">
        <v>0</v>
      </c>
      <c r="K90">
        <v>0</v>
      </c>
    </row>
    <row r="91" spans="1:13" ht="12.75">
      <c r="A91">
        <v>70</v>
      </c>
      <c r="B91">
        <v>1</v>
      </c>
      <c r="D91">
        <v>6</v>
      </c>
      <c r="E91" t="s">
        <v>169</v>
      </c>
      <c r="F91" t="s">
        <v>170</v>
      </c>
      <c r="G91">
        <v>1</v>
      </c>
      <c r="H91">
        <v>1.5</v>
      </c>
      <c r="I91" t="s">
        <v>171</v>
      </c>
      <c r="J91">
        <v>0</v>
      </c>
      <c r="K91">
        <v>0</v>
      </c>
    </row>
    <row r="92" spans="1:13" ht="12.75">
      <c r="A92">
        <v>70</v>
      </c>
      <c r="B92">
        <v>1</v>
      </c>
      <c r="D92">
        <v>7</v>
      </c>
      <c r="E92" t="s">
        <v>172</v>
      </c>
      <c r="F92" t="s">
        <v>173</v>
      </c>
      <c r="G92">
        <v>1</v>
      </c>
      <c r="H92">
        <v>1.5</v>
      </c>
      <c r="I92" t="s">
        <v>174</v>
      </c>
      <c r="J92">
        <v>0</v>
      </c>
      <c r="K92">
        <v>0</v>
      </c>
    </row>
    <row r="93" spans="1:13" ht="12.75">
      <c r="A93">
        <v>70</v>
      </c>
      <c r="B93">
        <v>1</v>
      </c>
      <c r="D93">
        <v>8</v>
      </c>
      <c r="E93" t="s">
        <v>175</v>
      </c>
      <c r="F93" t="s">
        <v>176</v>
      </c>
      <c r="G93">
        <v>1</v>
      </c>
      <c r="H93">
        <v>1.35</v>
      </c>
      <c r="I93" t="s">
        <v>177</v>
      </c>
      <c r="J93">
        <v>0</v>
      </c>
      <c r="K93">
        <v>0</v>
      </c>
    </row>
    <row r="94" spans="1:13" ht="12.75">
      <c r="A94">
        <v>70</v>
      </c>
      <c r="B94">
        <v>1</v>
      </c>
      <c r="D94">
        <v>9</v>
      </c>
      <c r="E94" t="s">
        <v>178</v>
      </c>
      <c r="F94" t="s">
        <v>179</v>
      </c>
      <c r="G94">
        <v>1</v>
      </c>
      <c r="H94">
        <v>1.7</v>
      </c>
      <c r="I94" t="s">
        <v>180</v>
      </c>
      <c r="J94">
        <v>0</v>
      </c>
      <c r="K94">
        <v>0</v>
      </c>
    </row>
    <row r="95" spans="1:13" ht="12.75">
      <c r="A95">
        <v>70</v>
      </c>
      <c r="B95">
        <v>1</v>
      </c>
      <c r="D95">
        <v>10</v>
      </c>
      <c r="E95" t="s">
        <v>181</v>
      </c>
      <c r="F95" t="s">
        <v>176</v>
      </c>
      <c r="G95">
        <v>1</v>
      </c>
      <c r="H95">
        <v>1.55</v>
      </c>
      <c r="I95" t="s">
        <v>182</v>
      </c>
      <c r="J95">
        <v>0</v>
      </c>
      <c r="K95">
        <v>0</v>
      </c>
    </row>
    <row r="96" spans="1:13" ht="12.75">
      <c r="A96">
        <v>70</v>
      </c>
      <c r="B96">
        <v>1</v>
      </c>
      <c r="D96">
        <v>11</v>
      </c>
      <c r="E96" t="s">
        <v>183</v>
      </c>
      <c r="F96" t="s">
        <v>184</v>
      </c>
      <c r="G96">
        <v>1</v>
      </c>
      <c r="H96">
        <v>2.05</v>
      </c>
      <c r="I96" t="s">
        <v>185</v>
      </c>
      <c r="J96">
        <v>0</v>
      </c>
      <c r="K96">
        <v>0</v>
      </c>
    </row>
    <row r="97" spans="1:13" ht="12.75">
      <c r="A97">
        <v>70</v>
      </c>
      <c r="B97">
        <v>1</v>
      </c>
      <c r="D97">
        <v>12</v>
      </c>
      <c r="E97" t="s">
        <v>186</v>
      </c>
      <c r="F97" t="s">
        <v>187</v>
      </c>
      <c r="G97">
        <v>1</v>
      </c>
      <c r="H97">
        <v>1.9</v>
      </c>
      <c r="I97" t="s">
        <v>188</v>
      </c>
      <c r="J97">
        <v>0</v>
      </c>
      <c r="K97">
        <v>0</v>
      </c>
    </row>
    <row r="98" spans="1:13" ht="12.75">
      <c r="A98">
        <v>70</v>
      </c>
      <c r="B98">
        <v>1</v>
      </c>
      <c r="D98">
        <v>13</v>
      </c>
      <c r="E98" t="s">
        <v>189</v>
      </c>
      <c r="F98" t="s">
        <v>190</v>
      </c>
      <c r="G98">
        <v>1</v>
      </c>
      <c r="H98">
        <v>2.3</v>
      </c>
      <c r="I98" t="s">
        <v>191</v>
      </c>
      <c r="J98">
        <v>0</v>
      </c>
      <c r="K98">
        <v>0</v>
      </c>
    </row>
    <row r="99" spans="1:13" ht="12.75">
      <c r="A99">
        <v>70</v>
      </c>
      <c r="B99">
        <v>1</v>
      </c>
      <c r="D99">
        <v>14</v>
      </c>
      <c r="E99" t="s">
        <v>192</v>
      </c>
      <c r="F99" t="s">
        <v>187</v>
      </c>
      <c r="G99">
        <v>1</v>
      </c>
      <c r="H99">
        <v>2.15</v>
      </c>
      <c r="I99" t="s">
        <v>193</v>
      </c>
      <c r="J99">
        <v>0</v>
      </c>
      <c r="K99">
        <v>0</v>
      </c>
    </row>
    <row r="100" spans="1:13" ht="12.75">
      <c r="A100">
        <v>70</v>
      </c>
      <c r="B100">
        <v>1</v>
      </c>
      <c r="D100">
        <v>15</v>
      </c>
      <c r="E100" t="s">
        <v>194</v>
      </c>
      <c r="F100" t="s">
        <v>195</v>
      </c>
      <c r="G100">
        <v>1</v>
      </c>
      <c r="H100">
        <v>1.15</v>
      </c>
      <c r="I100" t="s">
        <v>196</v>
      </c>
      <c r="J100">
        <v>0</v>
      </c>
      <c r="K100">
        <v>0</v>
      </c>
    </row>
    <row r="101" spans="1:13" ht="12.75">
      <c r="A101">
        <v>70</v>
      </c>
      <c r="B101">
        <v>1</v>
      </c>
      <c r="D101">
        <v>16</v>
      </c>
      <c r="E101" t="s">
        <v>197</v>
      </c>
      <c r="F101" t="s">
        <v>198</v>
      </c>
      <c r="G101">
        <v>1</v>
      </c>
      <c r="H101">
        <v>1.25</v>
      </c>
      <c r="I101" t="s">
        <v>199</v>
      </c>
      <c r="J101">
        <v>0</v>
      </c>
      <c r="K101">
        <v>0</v>
      </c>
    </row>
    <row r="102" spans="1:13" ht="12.75">
      <c r="A102">
        <v>70</v>
      </c>
      <c r="B102">
        <v>1</v>
      </c>
      <c r="D102">
        <v>17</v>
      </c>
      <c r="E102" t="s">
        <v>200</v>
      </c>
      <c r="F102" t="s">
        <v>201</v>
      </c>
      <c r="G102">
        <v>1</v>
      </c>
      <c r="H102">
        <v>1.2</v>
      </c>
      <c r="I102" t="s">
        <v>202</v>
      </c>
      <c r="J102">
        <v>0</v>
      </c>
      <c r="K102">
        <v>0</v>
      </c>
    </row>
    <row r="103" spans="1:13" ht="12.75">
      <c r="A103">
        <v>70</v>
      </c>
      <c r="B103">
        <v>1</v>
      </c>
      <c r="D103">
        <v>18</v>
      </c>
      <c r="E103" t="s">
        <v>203</v>
      </c>
      <c r="F103" t="s">
        <v>204</v>
      </c>
      <c r="G103">
        <v>1</v>
      </c>
      <c r="H103">
        <v>1.1</v>
      </c>
      <c r="I103" t="s">
        <v>205</v>
      </c>
      <c r="J103">
        <v>0</v>
      </c>
      <c r="K103">
        <v>0</v>
      </c>
    </row>
    <row r="104" spans="1:13" ht="12.75">
      <c r="A104">
        <v>70</v>
      </c>
      <c r="B104">
        <v>1</v>
      </c>
      <c r="D104">
        <v>19</v>
      </c>
      <c r="E104" t="s">
        <v>206</v>
      </c>
      <c r="F104" t="s">
        <v>207</v>
      </c>
      <c r="G104">
        <v>1</v>
      </c>
      <c r="H104">
        <v>1.15</v>
      </c>
      <c r="I104" t="s">
        <v>208</v>
      </c>
      <c r="J104">
        <v>0</v>
      </c>
      <c r="K104">
        <v>0</v>
      </c>
    </row>
    <row r="105" spans="1:13" ht="12.75">
      <c r="A105">
        <v>70</v>
      </c>
      <c r="B105">
        <v>1</v>
      </c>
      <c r="D105">
        <v>20</v>
      </c>
      <c r="E105" t="s">
        <v>209</v>
      </c>
      <c r="F105" t="s">
        <v>210</v>
      </c>
      <c r="G105">
        <v>1</v>
      </c>
      <c r="H105">
        <v>1.15</v>
      </c>
      <c r="I105" t="s">
        <v>211</v>
      </c>
      <c r="J105">
        <v>0</v>
      </c>
      <c r="K105">
        <v>0</v>
      </c>
    </row>
    <row r="106" spans="1:13" ht="12.75">
      <c r="A106">
        <v>70</v>
      </c>
      <c r="B106">
        <v>1</v>
      </c>
      <c r="D106">
        <v>21</v>
      </c>
      <c r="E106" t="s">
        <v>212</v>
      </c>
      <c r="F106" t="s">
        <v>213</v>
      </c>
      <c r="G106">
        <v>1</v>
      </c>
      <c r="H106">
        <v>1.25</v>
      </c>
      <c r="I106" t="s">
        <v>214</v>
      </c>
      <c r="J106">
        <v>0</v>
      </c>
      <c r="K106">
        <v>0</v>
      </c>
    </row>
    <row r="107" spans="1:13" ht="12.75">
      <c r="A107">
        <v>70</v>
      </c>
      <c r="B107">
        <v>1</v>
      </c>
      <c r="D107">
        <v>22</v>
      </c>
      <c r="E107" t="s">
        <v>215</v>
      </c>
      <c r="F107" t="s">
        <v>216</v>
      </c>
      <c r="G107">
        <v>1</v>
      </c>
      <c r="H107">
        <v>1.35</v>
      </c>
      <c r="I107" t="s">
        <v>217</v>
      </c>
      <c r="J107">
        <v>0</v>
      </c>
      <c r="K107">
        <v>0</v>
      </c>
    </row>
    <row r="108" spans="1:13" ht="12.75">
      <c r="A108">
        <v>70</v>
      </c>
      <c r="B108">
        <v>1</v>
      </c>
      <c r="D108">
        <v>23</v>
      </c>
      <c r="E108" t="s">
        <v>218</v>
      </c>
      <c r="F108" t="s">
        <v>219</v>
      </c>
      <c r="G108">
        <v>1</v>
      </c>
      <c r="H108">
        <v>1.5</v>
      </c>
      <c r="I108" t="s">
        <v>220</v>
      </c>
      <c r="J108">
        <v>0</v>
      </c>
      <c r="K108">
        <v>0</v>
      </c>
    </row>
    <row r="109" spans="1:13" ht="12.75">
      <c r="A109">
        <v>70</v>
      </c>
      <c r="B109">
        <v>1</v>
      </c>
      <c r="D109">
        <v>44</v>
      </c>
      <c r="E109" t="s">
        <v>221</v>
      </c>
      <c r="F109" t="s">
        <v>222</v>
      </c>
      <c r="G109">
        <v>1</v>
      </c>
      <c r="H109">
        <v>1.35</v>
      </c>
      <c r="I109" t="s">
        <v>223</v>
      </c>
      <c r="J109">
        <v>0</v>
      </c>
      <c r="K109">
        <v>0</v>
      </c>
    </row>
    <row r="110" spans="1:13" ht="12.75">
      <c r="A110">
        <v>70</v>
      </c>
      <c r="B110">
        <v>1</v>
      </c>
      <c r="D110">
        <v>46</v>
      </c>
      <c r="E110" t="s">
        <v>224</v>
      </c>
      <c r="F110" t="s">
        <v>225</v>
      </c>
      <c r="G110">
        <v>0</v>
      </c>
      <c r="H110">
        <v>0</v>
      </c>
      <c r="I110" t="s">
        <v>139</v>
      </c>
      <c r="J110">
        <v>0</v>
      </c>
      <c r="K110">
        <v>0</v>
      </c>
    </row>
    <row r="111" spans="1:13" ht="12.75">
      <c r="A111">
        <v>70</v>
      </c>
      <c r="B111">
        <v>1</v>
      </c>
      <c r="D111">
        <v>47</v>
      </c>
      <c r="E111" t="s">
        <v>226</v>
      </c>
      <c r="F111" t="s">
        <v>227</v>
      </c>
      <c r="G111">
        <v>1</v>
      </c>
      <c r="H111">
        <v>1.15</v>
      </c>
      <c r="I111" t="s">
        <v>228</v>
      </c>
      <c r="J111">
        <v>0</v>
      </c>
      <c r="K111">
        <v>0</v>
      </c>
    </row>
    <row r="112" spans="1:13" ht="12.75">
      <c r="A112">
        <v>70</v>
      </c>
      <c r="B112">
        <v>1</v>
      </c>
      <c r="D112">
        <v>48</v>
      </c>
      <c r="E112" t="s">
        <v>229</v>
      </c>
      <c r="F112" t="s">
        <v>230</v>
      </c>
      <c r="G112">
        <v>1</v>
      </c>
      <c r="H112">
        <v>1.25</v>
      </c>
      <c r="I112" t="s">
        <v>231</v>
      </c>
      <c r="J112">
        <v>0</v>
      </c>
      <c r="K112">
        <v>0</v>
      </c>
    </row>
    <row r="113" spans="1:13" ht="12.75">
      <c r="A113">
        <v>70</v>
      </c>
      <c r="B113">
        <v>1</v>
      </c>
      <c r="D113">
        <v>49</v>
      </c>
      <c r="E113" t="s">
        <v>232</v>
      </c>
      <c r="F113" t="s">
        <v>233</v>
      </c>
      <c r="G113">
        <v>1</v>
      </c>
      <c r="H113">
        <v>1.1</v>
      </c>
      <c r="I113" t="s">
        <v>234</v>
      </c>
      <c r="J113">
        <v>0</v>
      </c>
      <c r="K113">
        <v>0</v>
      </c>
    </row>
    <row r="114" spans="1:13" ht="12.75">
      <c r="A114">
        <v>70</v>
      </c>
      <c r="B114">
        <v>1</v>
      </c>
      <c r="D114">
        <v>45</v>
      </c>
      <c r="E114" t="s">
        <v>235</v>
      </c>
      <c r="F114" t="s">
        <v>236</v>
      </c>
      <c r="G114">
        <v>1</v>
      </c>
      <c r="H114">
        <v>1.5</v>
      </c>
      <c r="I114" t="s">
        <v>237</v>
      </c>
      <c r="J114">
        <v>0</v>
      </c>
      <c r="K114">
        <v>0</v>
      </c>
    </row>
    <row r="115" spans="1:13" ht="12.75">
      <c r="A115">
        <v>70</v>
      </c>
      <c r="B115">
        <v>1</v>
      </c>
      <c r="D115">
        <v>51</v>
      </c>
      <c r="E115" t="s">
        <v>238</v>
      </c>
      <c r="F115" t="s">
        <v>239</v>
      </c>
      <c r="G115">
        <v>1</v>
      </c>
      <c r="H115">
        <v>1.1</v>
      </c>
      <c r="I115" t="s">
        <v>240</v>
      </c>
      <c r="J115">
        <v>0</v>
      </c>
      <c r="K115">
        <v>0</v>
      </c>
    </row>
    <row r="116" spans="1:13" ht="12.75">
      <c r="A116">
        <v>70</v>
      </c>
      <c r="B116">
        <v>1</v>
      </c>
      <c r="D116">
        <v>50</v>
      </c>
      <c r="E116" t="s">
        <v>241</v>
      </c>
      <c r="F116" t="s">
        <v>242</v>
      </c>
      <c r="G116">
        <v>1</v>
      </c>
      <c r="H116">
        <v>1.35</v>
      </c>
      <c r="I116" t="s">
        <v>243</v>
      </c>
      <c r="J116">
        <v>0</v>
      </c>
      <c r="K116">
        <v>0</v>
      </c>
    </row>
    <row r="119" spans="1:7" ht="12.75">
      <c r="A119">
        <v>65</v>
      </c>
      <c r="C119">
        <v>1</v>
      </c>
      <c r="D119">
        <v>2</v>
      </c>
      <c r="E119">
        <v>150</v>
      </c>
      <c r="F119" t="s">
        <v>244</v>
      </c>
      <c r="G119" t="s">
        <v>245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78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ROW(Source!A25)</f>
        <v>25</v>
      </c>
      <c r="B1">
        <v>4646716</v>
      </c>
      <c r="C1">
        <v>4646715</v>
      </c>
      <c r="D1">
        <v>4156924</v>
      </c>
      <c r="E1">
        <v>1</v>
      </c>
      <c r="F1">
        <v>1</v>
      </c>
      <c r="G1">
        <v>1</v>
      </c>
      <c r="H1">
        <v>1</v>
      </c>
      <c r="I1" t="s">
        <v>246</v>
      </c>
      <c r="K1" t="s">
        <v>247</v>
      </c>
      <c r="L1">
        <v>1476</v>
      </c>
      <c r="N1">
        <v>1013</v>
      </c>
      <c r="O1" t="s">
        <v>248</v>
      </c>
      <c r="P1" t="s">
        <v>249</v>
      </c>
      <c r="Q1">
        <v>1</v>
      </c>
      <c r="Y1">
        <v>24.39</v>
      </c>
      <c r="AA1">
        <v>0</v>
      </c>
      <c r="AB1">
        <v>0</v>
      </c>
      <c r="AC1">
        <v>0</v>
      </c>
      <c r="AD1">
        <v>7.79</v>
      </c>
      <c r="AN1">
        <v>0</v>
      </c>
      <c r="AO1">
        <v>1</v>
      </c>
      <c r="AP1">
        <v>0</v>
      </c>
      <c r="AQ1">
        <v>0</v>
      </c>
      <c r="AR1">
        <v>0</v>
      </c>
      <c r="AT1">
        <v>24.39</v>
      </c>
      <c r="AV1">
        <v>1</v>
      </c>
    </row>
    <row r="2" spans="1:48" ht="12.75">
      <c r="A2">
        <f>ROW(Source!A25)</f>
        <v>25</v>
      </c>
      <c r="B2">
        <v>4646717</v>
      </c>
      <c r="C2">
        <v>4646715</v>
      </c>
      <c r="D2">
        <v>4064462</v>
      </c>
      <c r="E2">
        <v>1</v>
      </c>
      <c r="F2">
        <v>1</v>
      </c>
      <c r="G2">
        <v>1</v>
      </c>
      <c r="H2">
        <v>2</v>
      </c>
      <c r="I2" t="s">
        <v>250</v>
      </c>
      <c r="J2" t="s">
        <v>251</v>
      </c>
      <c r="K2" t="s">
        <v>252</v>
      </c>
      <c r="L2">
        <v>1368</v>
      </c>
      <c r="N2">
        <v>1011</v>
      </c>
      <c r="O2" t="s">
        <v>253</v>
      </c>
      <c r="P2" t="s">
        <v>253</v>
      </c>
      <c r="Q2">
        <v>1</v>
      </c>
      <c r="Y2">
        <v>0.63</v>
      </c>
      <c r="AA2">
        <v>0</v>
      </c>
      <c r="AB2">
        <v>2.77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0.63</v>
      </c>
      <c r="AV2">
        <v>0</v>
      </c>
    </row>
    <row r="3" spans="1:48" ht="12.75">
      <c r="A3">
        <f>ROW(Source!A25)</f>
        <v>25</v>
      </c>
      <c r="B3">
        <v>4646718</v>
      </c>
      <c r="C3">
        <v>4646715</v>
      </c>
      <c r="D3">
        <v>4125739</v>
      </c>
      <c r="E3">
        <v>1</v>
      </c>
      <c r="F3">
        <v>1</v>
      </c>
      <c r="G3">
        <v>1</v>
      </c>
      <c r="H3">
        <v>3</v>
      </c>
      <c r="I3" t="s">
        <v>254</v>
      </c>
      <c r="J3" t="s">
        <v>255</v>
      </c>
      <c r="K3" t="s">
        <v>256</v>
      </c>
      <c r="L3">
        <v>1348</v>
      </c>
      <c r="N3">
        <v>1009</v>
      </c>
      <c r="O3" t="s">
        <v>257</v>
      </c>
      <c r="P3" t="s">
        <v>257</v>
      </c>
      <c r="Q3">
        <v>1000</v>
      </c>
      <c r="Y3">
        <v>1.45</v>
      </c>
      <c r="AA3">
        <v>0</v>
      </c>
      <c r="AB3">
        <v>0</v>
      </c>
      <c r="AC3">
        <v>0</v>
      </c>
      <c r="AD3">
        <v>0</v>
      </c>
      <c r="AN3">
        <v>0</v>
      </c>
      <c r="AO3">
        <v>0</v>
      </c>
      <c r="AP3">
        <v>0</v>
      </c>
      <c r="AQ3">
        <v>0</v>
      </c>
      <c r="AR3">
        <v>0</v>
      </c>
      <c r="AT3">
        <v>1.45</v>
      </c>
      <c r="AV3">
        <v>0</v>
      </c>
    </row>
    <row r="4" spans="1:48" ht="12.75">
      <c r="A4">
        <f>ROW(Source!A26)</f>
        <v>26</v>
      </c>
      <c r="B4">
        <v>4646721</v>
      </c>
      <c r="C4">
        <v>4646720</v>
      </c>
      <c r="D4">
        <v>4159351</v>
      </c>
      <c r="E4">
        <v>1</v>
      </c>
      <c r="F4">
        <v>1</v>
      </c>
      <c r="G4">
        <v>1</v>
      </c>
      <c r="H4">
        <v>1</v>
      </c>
      <c r="I4" t="s">
        <v>258</v>
      </c>
      <c r="K4" t="s">
        <v>259</v>
      </c>
      <c r="L4">
        <v>1476</v>
      </c>
      <c r="N4">
        <v>1013</v>
      </c>
      <c r="O4" t="s">
        <v>248</v>
      </c>
      <c r="P4" t="s">
        <v>249</v>
      </c>
      <c r="Q4">
        <v>1</v>
      </c>
      <c r="Y4">
        <v>65.12</v>
      </c>
      <c r="AA4">
        <v>0</v>
      </c>
      <c r="AB4">
        <v>0</v>
      </c>
      <c r="AC4">
        <v>0</v>
      </c>
      <c r="AD4">
        <v>7.93</v>
      </c>
      <c r="AN4">
        <v>0</v>
      </c>
      <c r="AO4">
        <v>1</v>
      </c>
      <c r="AP4">
        <v>0</v>
      </c>
      <c r="AQ4">
        <v>0</v>
      </c>
      <c r="AR4">
        <v>0</v>
      </c>
      <c r="AT4">
        <v>65.12</v>
      </c>
      <c r="AV4">
        <v>1</v>
      </c>
    </row>
    <row r="5" spans="1:48" ht="12.75">
      <c r="A5">
        <f>ROW(Source!A26)</f>
        <v>26</v>
      </c>
      <c r="B5">
        <v>4646722</v>
      </c>
      <c r="C5">
        <v>4646720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25</v>
      </c>
      <c r="K5" t="s">
        <v>260</v>
      </c>
      <c r="L5">
        <v>608254</v>
      </c>
      <c r="N5">
        <v>1013</v>
      </c>
      <c r="O5" t="s">
        <v>261</v>
      </c>
      <c r="P5" t="s">
        <v>261</v>
      </c>
      <c r="Q5">
        <v>1</v>
      </c>
      <c r="Y5">
        <v>0.28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0.28</v>
      </c>
      <c r="AV5">
        <v>2</v>
      </c>
    </row>
    <row r="6" spans="1:48" ht="12.75">
      <c r="A6">
        <f>ROW(Source!A26)</f>
        <v>26</v>
      </c>
      <c r="B6">
        <v>4646723</v>
      </c>
      <c r="C6">
        <v>4646720</v>
      </c>
      <c r="D6">
        <v>4064462</v>
      </c>
      <c r="E6">
        <v>1</v>
      </c>
      <c r="F6">
        <v>1</v>
      </c>
      <c r="G6">
        <v>1</v>
      </c>
      <c r="H6">
        <v>2</v>
      </c>
      <c r="I6" t="s">
        <v>250</v>
      </c>
      <c r="J6" t="s">
        <v>251</v>
      </c>
      <c r="K6" t="s">
        <v>252</v>
      </c>
      <c r="L6">
        <v>1368</v>
      </c>
      <c r="N6">
        <v>1011</v>
      </c>
      <c r="O6" t="s">
        <v>253</v>
      </c>
      <c r="P6" t="s">
        <v>253</v>
      </c>
      <c r="Q6">
        <v>1</v>
      </c>
      <c r="Y6">
        <v>0.39</v>
      </c>
      <c r="AA6">
        <v>0</v>
      </c>
      <c r="AB6">
        <v>2.77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0.39</v>
      </c>
      <c r="AV6">
        <v>0</v>
      </c>
    </row>
    <row r="7" spans="1:48" ht="12.75">
      <c r="A7">
        <f>ROW(Source!A26)</f>
        <v>26</v>
      </c>
      <c r="B7">
        <v>4646724</v>
      </c>
      <c r="C7">
        <v>4646720</v>
      </c>
      <c r="D7">
        <v>4067370</v>
      </c>
      <c r="E7">
        <v>1</v>
      </c>
      <c r="F7">
        <v>1</v>
      </c>
      <c r="G7">
        <v>1</v>
      </c>
      <c r="H7">
        <v>2</v>
      </c>
      <c r="I7" t="s">
        <v>262</v>
      </c>
      <c r="J7" t="s">
        <v>263</v>
      </c>
      <c r="K7" t="s">
        <v>264</v>
      </c>
      <c r="L7">
        <v>1368</v>
      </c>
      <c r="N7">
        <v>1011</v>
      </c>
      <c r="O7" t="s">
        <v>253</v>
      </c>
      <c r="P7" t="s">
        <v>253</v>
      </c>
      <c r="Q7">
        <v>1</v>
      </c>
      <c r="Y7">
        <v>0.28</v>
      </c>
      <c r="AA7">
        <v>0</v>
      </c>
      <c r="AB7">
        <v>60.77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0.28</v>
      </c>
      <c r="AV7">
        <v>0</v>
      </c>
    </row>
    <row r="8" spans="1:48" ht="12.75">
      <c r="A8">
        <f>ROW(Source!A26)</f>
        <v>26</v>
      </c>
      <c r="B8">
        <v>4646725</v>
      </c>
      <c r="C8">
        <v>4646720</v>
      </c>
      <c r="D8">
        <v>4071695</v>
      </c>
      <c r="E8">
        <v>1</v>
      </c>
      <c r="F8">
        <v>1</v>
      </c>
      <c r="G8">
        <v>1</v>
      </c>
      <c r="H8">
        <v>3</v>
      </c>
      <c r="I8" t="s">
        <v>265</v>
      </c>
      <c r="J8" t="s">
        <v>266</v>
      </c>
      <c r="K8" t="s">
        <v>267</v>
      </c>
      <c r="L8">
        <v>1348</v>
      </c>
      <c r="N8">
        <v>1009</v>
      </c>
      <c r="O8" t="s">
        <v>257</v>
      </c>
      <c r="P8" t="s">
        <v>257</v>
      </c>
      <c r="Q8">
        <v>1000</v>
      </c>
      <c r="Y8">
        <v>0.004</v>
      </c>
      <c r="AA8">
        <v>7696.95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0.004</v>
      </c>
      <c r="AV8">
        <v>0</v>
      </c>
    </row>
    <row r="9" spans="1:48" ht="12.75">
      <c r="A9">
        <f>ROW(Source!A26)</f>
        <v>26</v>
      </c>
      <c r="B9">
        <v>4646726</v>
      </c>
      <c r="C9">
        <v>4646720</v>
      </c>
      <c r="D9">
        <v>4073952</v>
      </c>
      <c r="E9">
        <v>1</v>
      </c>
      <c r="F9">
        <v>1</v>
      </c>
      <c r="G9">
        <v>1</v>
      </c>
      <c r="H9">
        <v>3</v>
      </c>
      <c r="I9" t="s">
        <v>268</v>
      </c>
      <c r="J9" t="s">
        <v>269</v>
      </c>
      <c r="K9" t="s">
        <v>270</v>
      </c>
      <c r="L9">
        <v>1339</v>
      </c>
      <c r="N9">
        <v>1007</v>
      </c>
      <c r="O9" t="s">
        <v>271</v>
      </c>
      <c r="P9" t="s">
        <v>271</v>
      </c>
      <c r="Q9">
        <v>1</v>
      </c>
      <c r="Y9">
        <v>1.3</v>
      </c>
      <c r="AA9">
        <v>1023.16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1.3</v>
      </c>
      <c r="AV9">
        <v>0</v>
      </c>
    </row>
    <row r="10" spans="1:48" ht="12.75">
      <c r="A10">
        <f>ROW(Source!A26)</f>
        <v>26</v>
      </c>
      <c r="B10">
        <v>4646727</v>
      </c>
      <c r="C10">
        <v>4646720</v>
      </c>
      <c r="D10">
        <v>4125739</v>
      </c>
      <c r="E10">
        <v>1</v>
      </c>
      <c r="F10">
        <v>1</v>
      </c>
      <c r="G10">
        <v>1</v>
      </c>
      <c r="H10">
        <v>3</v>
      </c>
      <c r="I10" t="s">
        <v>254</v>
      </c>
      <c r="J10" t="s">
        <v>255</v>
      </c>
      <c r="K10" t="s">
        <v>256</v>
      </c>
      <c r="L10">
        <v>1348</v>
      </c>
      <c r="N10">
        <v>1009</v>
      </c>
      <c r="O10" t="s">
        <v>257</v>
      </c>
      <c r="P10" t="s">
        <v>257</v>
      </c>
      <c r="Q10">
        <v>1000</v>
      </c>
      <c r="Y10">
        <v>2.11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2.11</v>
      </c>
      <c r="AV10">
        <v>0</v>
      </c>
    </row>
    <row r="11" spans="1:48" ht="12.75">
      <c r="A11">
        <f>ROW(Source!A27)</f>
        <v>27</v>
      </c>
      <c r="B11">
        <v>4647307</v>
      </c>
      <c r="C11">
        <v>4647306</v>
      </c>
      <c r="D11">
        <v>4157999</v>
      </c>
      <c r="E11">
        <v>1</v>
      </c>
      <c r="F11">
        <v>1</v>
      </c>
      <c r="G11">
        <v>1</v>
      </c>
      <c r="H11">
        <v>1</v>
      </c>
      <c r="I11" t="s">
        <v>272</v>
      </c>
      <c r="K11" t="s">
        <v>273</v>
      </c>
      <c r="L11">
        <v>1476</v>
      </c>
      <c r="N11">
        <v>1013</v>
      </c>
      <c r="O11" t="s">
        <v>248</v>
      </c>
      <c r="P11" t="s">
        <v>249</v>
      </c>
      <c r="Q11">
        <v>1</v>
      </c>
      <c r="Y11">
        <v>63.22</v>
      </c>
      <c r="AA11">
        <v>0</v>
      </c>
      <c r="AB11">
        <v>0</v>
      </c>
      <c r="AC11">
        <v>0</v>
      </c>
      <c r="AD11">
        <v>8.52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63.22</v>
      </c>
      <c r="AV11">
        <v>1</v>
      </c>
    </row>
    <row r="12" spans="1:48" ht="12.75">
      <c r="A12">
        <f>ROW(Source!A27)</f>
        <v>27</v>
      </c>
      <c r="B12">
        <v>4647308</v>
      </c>
      <c r="C12">
        <v>4647306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25</v>
      </c>
      <c r="K12" t="s">
        <v>260</v>
      </c>
      <c r="L12">
        <v>608254</v>
      </c>
      <c r="N12">
        <v>1013</v>
      </c>
      <c r="O12" t="s">
        <v>261</v>
      </c>
      <c r="P12" t="s">
        <v>261</v>
      </c>
      <c r="Q12">
        <v>1</v>
      </c>
      <c r="Y12">
        <v>0.2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0.2</v>
      </c>
      <c r="AV12">
        <v>2</v>
      </c>
    </row>
    <row r="13" spans="1:48" ht="12.75">
      <c r="A13">
        <f>ROW(Source!A27)</f>
        <v>27</v>
      </c>
      <c r="B13">
        <v>4647309</v>
      </c>
      <c r="C13">
        <v>4647306</v>
      </c>
      <c r="D13">
        <v>4064532</v>
      </c>
      <c r="E13">
        <v>1</v>
      </c>
      <c r="F13">
        <v>1</v>
      </c>
      <c r="G13">
        <v>1</v>
      </c>
      <c r="H13">
        <v>2</v>
      </c>
      <c r="I13" t="s">
        <v>274</v>
      </c>
      <c r="J13" t="s">
        <v>275</v>
      </c>
      <c r="K13" t="s">
        <v>276</v>
      </c>
      <c r="L13">
        <v>1368</v>
      </c>
      <c r="N13">
        <v>1011</v>
      </c>
      <c r="O13" t="s">
        <v>253</v>
      </c>
      <c r="P13" t="s">
        <v>253</v>
      </c>
      <c r="Q13">
        <v>1</v>
      </c>
      <c r="Y13">
        <v>0.14</v>
      </c>
      <c r="AA13">
        <v>0</v>
      </c>
      <c r="AB13">
        <v>13.25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0.14</v>
      </c>
      <c r="AV13">
        <v>0</v>
      </c>
    </row>
    <row r="14" spans="1:48" ht="12.75">
      <c r="A14">
        <f>ROW(Source!A27)</f>
        <v>27</v>
      </c>
      <c r="B14">
        <v>4647310</v>
      </c>
      <c r="C14">
        <v>4647306</v>
      </c>
      <c r="D14">
        <v>4067370</v>
      </c>
      <c r="E14">
        <v>1</v>
      </c>
      <c r="F14">
        <v>1</v>
      </c>
      <c r="G14">
        <v>1</v>
      </c>
      <c r="H14">
        <v>2</v>
      </c>
      <c r="I14" t="s">
        <v>262</v>
      </c>
      <c r="J14" t="s">
        <v>263</v>
      </c>
      <c r="K14" t="s">
        <v>264</v>
      </c>
      <c r="L14">
        <v>1368</v>
      </c>
      <c r="N14">
        <v>1011</v>
      </c>
      <c r="O14" t="s">
        <v>253</v>
      </c>
      <c r="P14" t="s">
        <v>253</v>
      </c>
      <c r="Q14">
        <v>1</v>
      </c>
      <c r="Y14">
        <v>0.06</v>
      </c>
      <c r="AA14">
        <v>0</v>
      </c>
      <c r="AB14">
        <v>60.77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0.06</v>
      </c>
      <c r="AV14">
        <v>0</v>
      </c>
    </row>
    <row r="15" spans="1:48" ht="12.75">
      <c r="A15">
        <f>ROW(Source!A27)</f>
        <v>27</v>
      </c>
      <c r="B15">
        <v>4647311</v>
      </c>
      <c r="C15">
        <v>4647306</v>
      </c>
      <c r="D15">
        <v>4069598</v>
      </c>
      <c r="E15">
        <v>1</v>
      </c>
      <c r="F15">
        <v>1</v>
      </c>
      <c r="G15">
        <v>1</v>
      </c>
      <c r="H15">
        <v>3</v>
      </c>
      <c r="I15" t="s">
        <v>277</v>
      </c>
      <c r="J15" t="s">
        <v>278</v>
      </c>
      <c r="K15" t="s">
        <v>279</v>
      </c>
      <c r="L15">
        <v>1348</v>
      </c>
      <c r="N15">
        <v>1009</v>
      </c>
      <c r="O15" t="s">
        <v>257</v>
      </c>
      <c r="P15" t="s">
        <v>257</v>
      </c>
      <c r="Q15">
        <v>1000</v>
      </c>
      <c r="Y15">
        <v>0.006</v>
      </c>
      <c r="AA15">
        <v>11545.42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0.006</v>
      </c>
      <c r="AV15">
        <v>0</v>
      </c>
    </row>
    <row r="16" spans="1:48" ht="12.75">
      <c r="A16">
        <f>ROW(Source!A27)</f>
        <v>27</v>
      </c>
      <c r="B16">
        <v>4647312</v>
      </c>
      <c r="C16">
        <v>4647306</v>
      </c>
      <c r="D16">
        <v>4071695</v>
      </c>
      <c r="E16">
        <v>1</v>
      </c>
      <c r="F16">
        <v>1</v>
      </c>
      <c r="G16">
        <v>1</v>
      </c>
      <c r="H16">
        <v>3</v>
      </c>
      <c r="I16" t="s">
        <v>265</v>
      </c>
      <c r="J16" t="s">
        <v>266</v>
      </c>
      <c r="K16" t="s">
        <v>267</v>
      </c>
      <c r="L16">
        <v>1348</v>
      </c>
      <c r="N16">
        <v>1009</v>
      </c>
      <c r="O16" t="s">
        <v>257</v>
      </c>
      <c r="P16" t="s">
        <v>257</v>
      </c>
      <c r="Q16">
        <v>1000</v>
      </c>
      <c r="Y16">
        <v>0.004</v>
      </c>
      <c r="AA16">
        <v>7696.95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0.004</v>
      </c>
      <c r="AV16">
        <v>0</v>
      </c>
    </row>
    <row r="17" spans="1:48" ht="12.75">
      <c r="A17">
        <f>ROW(Source!A27)</f>
        <v>27</v>
      </c>
      <c r="B17">
        <v>4647313</v>
      </c>
      <c r="C17">
        <v>4647306</v>
      </c>
      <c r="D17">
        <v>4073005</v>
      </c>
      <c r="E17">
        <v>1</v>
      </c>
      <c r="F17">
        <v>1</v>
      </c>
      <c r="G17">
        <v>1</v>
      </c>
      <c r="H17">
        <v>3</v>
      </c>
      <c r="I17" t="s">
        <v>280</v>
      </c>
      <c r="J17" t="s">
        <v>281</v>
      </c>
      <c r="K17" t="s">
        <v>282</v>
      </c>
      <c r="L17">
        <v>1348</v>
      </c>
      <c r="N17">
        <v>1009</v>
      </c>
      <c r="O17" t="s">
        <v>257</v>
      </c>
      <c r="P17" t="s">
        <v>257</v>
      </c>
      <c r="Q17">
        <v>1000</v>
      </c>
      <c r="Y17">
        <v>0.324</v>
      </c>
      <c r="AA17">
        <v>11200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0.324</v>
      </c>
      <c r="AV17">
        <v>0</v>
      </c>
    </row>
    <row r="18" spans="1:48" ht="12.75">
      <c r="A18">
        <f>ROW(Source!A27)</f>
        <v>27</v>
      </c>
      <c r="B18">
        <v>4647314</v>
      </c>
      <c r="C18">
        <v>4647306</v>
      </c>
      <c r="D18">
        <v>4125739</v>
      </c>
      <c r="E18">
        <v>1</v>
      </c>
      <c r="F18">
        <v>1</v>
      </c>
      <c r="G18">
        <v>1</v>
      </c>
      <c r="H18">
        <v>3</v>
      </c>
      <c r="I18" t="s">
        <v>254</v>
      </c>
      <c r="J18" t="s">
        <v>255</v>
      </c>
      <c r="K18" t="s">
        <v>256</v>
      </c>
      <c r="L18">
        <v>1348</v>
      </c>
      <c r="N18">
        <v>1009</v>
      </c>
      <c r="O18" t="s">
        <v>257</v>
      </c>
      <c r="P18" t="s">
        <v>257</v>
      </c>
      <c r="Q18">
        <v>1000</v>
      </c>
      <c r="Y18">
        <v>0.33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0.33</v>
      </c>
      <c r="AV18">
        <v>0</v>
      </c>
    </row>
    <row r="19" spans="1:48" ht="12.75">
      <c r="A19">
        <f>ROW(Source!A28)</f>
        <v>28</v>
      </c>
      <c r="B19">
        <v>4646880</v>
      </c>
      <c r="C19">
        <v>4646879</v>
      </c>
      <c r="D19">
        <v>4160808</v>
      </c>
      <c r="E19">
        <v>1</v>
      </c>
      <c r="F19">
        <v>1</v>
      </c>
      <c r="G19">
        <v>1</v>
      </c>
      <c r="H19">
        <v>1</v>
      </c>
      <c r="I19" t="s">
        <v>283</v>
      </c>
      <c r="K19" t="s">
        <v>284</v>
      </c>
      <c r="L19">
        <v>1476</v>
      </c>
      <c r="N19">
        <v>1013</v>
      </c>
      <c r="O19" t="s">
        <v>248</v>
      </c>
      <c r="P19" t="s">
        <v>249</v>
      </c>
      <c r="Q19">
        <v>1</v>
      </c>
      <c r="Y19">
        <v>47.23</v>
      </c>
      <c r="AA19">
        <v>0</v>
      </c>
      <c r="AB19">
        <v>0</v>
      </c>
      <c r="AC19">
        <v>0</v>
      </c>
      <c r="AD19">
        <v>8.62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47.23</v>
      </c>
      <c r="AV19">
        <v>1</v>
      </c>
    </row>
    <row r="20" spans="1:48" ht="12.75">
      <c r="A20">
        <f>ROW(Source!A28)</f>
        <v>28</v>
      </c>
      <c r="B20">
        <v>4646881</v>
      </c>
      <c r="C20">
        <v>4646879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25</v>
      </c>
      <c r="K20" t="s">
        <v>260</v>
      </c>
      <c r="L20">
        <v>608254</v>
      </c>
      <c r="N20">
        <v>1013</v>
      </c>
      <c r="O20" t="s">
        <v>261</v>
      </c>
      <c r="P20" t="s">
        <v>261</v>
      </c>
      <c r="Q20">
        <v>1</v>
      </c>
      <c r="Y20">
        <v>1.19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1.19</v>
      </c>
      <c r="AV20">
        <v>2</v>
      </c>
    </row>
    <row r="21" spans="1:48" ht="12.75">
      <c r="A21">
        <f>ROW(Source!A28)</f>
        <v>28</v>
      </c>
      <c r="B21">
        <v>4646882</v>
      </c>
      <c r="C21">
        <v>4646879</v>
      </c>
      <c r="D21">
        <v>4064135</v>
      </c>
      <c r="E21">
        <v>1</v>
      </c>
      <c r="F21">
        <v>1</v>
      </c>
      <c r="G21">
        <v>1</v>
      </c>
      <c r="H21">
        <v>2</v>
      </c>
      <c r="I21" t="s">
        <v>285</v>
      </c>
      <c r="J21" t="s">
        <v>286</v>
      </c>
      <c r="K21" t="s">
        <v>287</v>
      </c>
      <c r="L21">
        <v>1480</v>
      </c>
      <c r="N21">
        <v>1013</v>
      </c>
      <c r="O21" t="s">
        <v>288</v>
      </c>
      <c r="P21" t="s">
        <v>289</v>
      </c>
      <c r="Q21">
        <v>1</v>
      </c>
      <c r="Y21">
        <v>0.5</v>
      </c>
      <c r="AA21">
        <v>0</v>
      </c>
      <c r="AB21">
        <v>118.84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0.5</v>
      </c>
      <c r="AV21">
        <v>0</v>
      </c>
    </row>
    <row r="22" spans="1:48" ht="12.75">
      <c r="A22">
        <f>ROW(Source!A28)</f>
        <v>28</v>
      </c>
      <c r="B22">
        <v>4646883</v>
      </c>
      <c r="C22">
        <v>4646879</v>
      </c>
      <c r="D22">
        <v>4064233</v>
      </c>
      <c r="E22">
        <v>1</v>
      </c>
      <c r="F22">
        <v>1</v>
      </c>
      <c r="G22">
        <v>1</v>
      </c>
      <c r="H22">
        <v>2</v>
      </c>
      <c r="I22" t="s">
        <v>290</v>
      </c>
      <c r="J22" t="s">
        <v>291</v>
      </c>
      <c r="K22" t="s">
        <v>292</v>
      </c>
      <c r="L22">
        <v>1368</v>
      </c>
      <c r="N22">
        <v>1011</v>
      </c>
      <c r="O22" t="s">
        <v>253</v>
      </c>
      <c r="P22" t="s">
        <v>253</v>
      </c>
      <c r="Q22">
        <v>1</v>
      </c>
      <c r="Y22">
        <v>0.29</v>
      </c>
      <c r="AA22">
        <v>0</v>
      </c>
      <c r="AB22">
        <v>123.73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0.29</v>
      </c>
      <c r="AV22">
        <v>0</v>
      </c>
    </row>
    <row r="23" spans="1:48" ht="12.75">
      <c r="A23">
        <f>ROW(Source!A28)</f>
        <v>28</v>
      </c>
      <c r="B23">
        <v>4646884</v>
      </c>
      <c r="C23">
        <v>4646879</v>
      </c>
      <c r="D23">
        <v>4067370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253</v>
      </c>
      <c r="P23" t="s">
        <v>253</v>
      </c>
      <c r="Q23">
        <v>1</v>
      </c>
      <c r="Y23">
        <v>0.4</v>
      </c>
      <c r="AA23">
        <v>0</v>
      </c>
      <c r="AB23">
        <v>60.77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</v>
      </c>
      <c r="AV23">
        <v>0</v>
      </c>
    </row>
    <row r="24" spans="1:48" ht="12.75">
      <c r="A24">
        <f>ROW(Source!A28)</f>
        <v>28</v>
      </c>
      <c r="B24">
        <v>4646885</v>
      </c>
      <c r="C24">
        <v>4646879</v>
      </c>
      <c r="D24">
        <v>4067865</v>
      </c>
      <c r="E24">
        <v>1</v>
      </c>
      <c r="F24">
        <v>1</v>
      </c>
      <c r="G24">
        <v>1</v>
      </c>
      <c r="H24">
        <v>3</v>
      </c>
      <c r="I24" t="s">
        <v>293</v>
      </c>
      <c r="J24" t="s">
        <v>294</v>
      </c>
      <c r="K24" t="s">
        <v>295</v>
      </c>
      <c r="L24">
        <v>1327</v>
      </c>
      <c r="N24">
        <v>1005</v>
      </c>
      <c r="O24" t="s">
        <v>47</v>
      </c>
      <c r="P24" t="s">
        <v>47</v>
      </c>
      <c r="Q24">
        <v>1</v>
      </c>
      <c r="Y24">
        <v>130</v>
      </c>
      <c r="AA24">
        <v>21.57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130</v>
      </c>
      <c r="AV24">
        <v>0</v>
      </c>
    </row>
    <row r="25" spans="1:48" ht="12.75">
      <c r="A25">
        <f>ROW(Source!A28)</f>
        <v>28</v>
      </c>
      <c r="B25">
        <v>4646886</v>
      </c>
      <c r="C25">
        <v>4646879</v>
      </c>
      <c r="D25">
        <v>4068019</v>
      </c>
      <c r="E25">
        <v>1</v>
      </c>
      <c r="F25">
        <v>1</v>
      </c>
      <c r="G25">
        <v>1</v>
      </c>
      <c r="H25">
        <v>3</v>
      </c>
      <c r="I25" t="s">
        <v>296</v>
      </c>
      <c r="J25" t="s">
        <v>297</v>
      </c>
      <c r="K25" t="s">
        <v>298</v>
      </c>
      <c r="L25">
        <v>1348</v>
      </c>
      <c r="N25">
        <v>1009</v>
      </c>
      <c r="O25" t="s">
        <v>257</v>
      </c>
      <c r="P25" t="s">
        <v>257</v>
      </c>
      <c r="Q25">
        <v>1000</v>
      </c>
      <c r="Y25">
        <v>0.004</v>
      </c>
      <c r="AA25">
        <v>15151.43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0.004</v>
      </c>
      <c r="AV25">
        <v>0</v>
      </c>
    </row>
    <row r="26" spans="1:48" ht="12.75">
      <c r="A26">
        <f>ROW(Source!A28)</f>
        <v>28</v>
      </c>
      <c r="B26">
        <v>4646887</v>
      </c>
      <c r="C26">
        <v>4646879</v>
      </c>
      <c r="D26">
        <v>4069578</v>
      </c>
      <c r="E26">
        <v>1</v>
      </c>
      <c r="F26">
        <v>1</v>
      </c>
      <c r="G26">
        <v>1</v>
      </c>
      <c r="H26">
        <v>3</v>
      </c>
      <c r="I26" t="s">
        <v>299</v>
      </c>
      <c r="J26" t="s">
        <v>300</v>
      </c>
      <c r="K26" t="s">
        <v>301</v>
      </c>
      <c r="L26">
        <v>1348</v>
      </c>
      <c r="N26">
        <v>1009</v>
      </c>
      <c r="O26" t="s">
        <v>257</v>
      </c>
      <c r="P26" t="s">
        <v>257</v>
      </c>
      <c r="Q26">
        <v>1000</v>
      </c>
      <c r="Y26">
        <v>0.027</v>
      </c>
      <c r="AA26">
        <v>9571.02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0.027</v>
      </c>
      <c r="AV26">
        <v>0</v>
      </c>
    </row>
    <row r="27" spans="1:48" ht="12.75">
      <c r="A27">
        <f>ROW(Source!A28)</f>
        <v>28</v>
      </c>
      <c r="B27">
        <v>4646888</v>
      </c>
      <c r="C27">
        <v>4646879</v>
      </c>
      <c r="D27">
        <v>4069738</v>
      </c>
      <c r="E27">
        <v>1</v>
      </c>
      <c r="F27">
        <v>1</v>
      </c>
      <c r="G27">
        <v>1</v>
      </c>
      <c r="H27">
        <v>3</v>
      </c>
      <c r="I27" t="s">
        <v>302</v>
      </c>
      <c r="J27" t="s">
        <v>303</v>
      </c>
      <c r="K27" t="s">
        <v>304</v>
      </c>
      <c r="L27">
        <v>1327</v>
      </c>
      <c r="N27">
        <v>1005</v>
      </c>
      <c r="O27" t="s">
        <v>47</v>
      </c>
      <c r="P27" t="s">
        <v>47</v>
      </c>
      <c r="Q27">
        <v>1</v>
      </c>
      <c r="Y27">
        <v>1.58</v>
      </c>
      <c r="AA27">
        <v>4.75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1.58</v>
      </c>
      <c r="AV27">
        <v>0</v>
      </c>
    </row>
    <row r="28" spans="1:48" ht="12.75">
      <c r="A28">
        <f>ROW(Source!A28)</f>
        <v>28</v>
      </c>
      <c r="B28">
        <v>4646889</v>
      </c>
      <c r="C28">
        <v>4646879</v>
      </c>
      <c r="D28">
        <v>4071695</v>
      </c>
      <c r="E28">
        <v>1</v>
      </c>
      <c r="F28">
        <v>1</v>
      </c>
      <c r="G28">
        <v>1</v>
      </c>
      <c r="H28">
        <v>3</v>
      </c>
      <c r="I28" t="s">
        <v>265</v>
      </c>
      <c r="J28" t="s">
        <v>266</v>
      </c>
      <c r="K28" t="s">
        <v>267</v>
      </c>
      <c r="L28">
        <v>1348</v>
      </c>
      <c r="N28">
        <v>1009</v>
      </c>
      <c r="O28" t="s">
        <v>257</v>
      </c>
      <c r="P28" t="s">
        <v>257</v>
      </c>
      <c r="Q28">
        <v>1000</v>
      </c>
      <c r="Y28">
        <v>0.00014</v>
      </c>
      <c r="AA28">
        <v>7696.95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0.00014</v>
      </c>
      <c r="AV28">
        <v>0</v>
      </c>
    </row>
    <row r="29" spans="1:48" ht="12.75">
      <c r="A29">
        <f>ROW(Source!A28)</f>
        <v>28</v>
      </c>
      <c r="B29">
        <v>4646890</v>
      </c>
      <c r="C29">
        <v>4646879</v>
      </c>
      <c r="D29">
        <v>4071805</v>
      </c>
      <c r="E29">
        <v>1</v>
      </c>
      <c r="F29">
        <v>1</v>
      </c>
      <c r="G29">
        <v>1</v>
      </c>
      <c r="H29">
        <v>3</v>
      </c>
      <c r="I29" t="s">
        <v>305</v>
      </c>
      <c r="J29" t="s">
        <v>306</v>
      </c>
      <c r="K29" t="s">
        <v>307</v>
      </c>
      <c r="L29">
        <v>1348</v>
      </c>
      <c r="N29">
        <v>1009</v>
      </c>
      <c r="O29" t="s">
        <v>257</v>
      </c>
      <c r="P29" t="s">
        <v>257</v>
      </c>
      <c r="Q29">
        <v>1000</v>
      </c>
      <c r="Y29">
        <v>0.02</v>
      </c>
      <c r="AA29">
        <v>12215.47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0.02</v>
      </c>
      <c r="AV29">
        <v>0</v>
      </c>
    </row>
    <row r="30" spans="1:48" ht="12.75">
      <c r="A30">
        <f>ROW(Source!A28)</f>
        <v>28</v>
      </c>
      <c r="B30">
        <v>4646891</v>
      </c>
      <c r="C30">
        <v>4646879</v>
      </c>
      <c r="D30">
        <v>4072041</v>
      </c>
      <c r="E30">
        <v>1</v>
      </c>
      <c r="F30">
        <v>1</v>
      </c>
      <c r="G30">
        <v>1</v>
      </c>
      <c r="H30">
        <v>3</v>
      </c>
      <c r="I30" t="s">
        <v>308</v>
      </c>
      <c r="J30" t="s">
        <v>309</v>
      </c>
      <c r="K30" t="s">
        <v>310</v>
      </c>
      <c r="L30">
        <v>1346</v>
      </c>
      <c r="N30">
        <v>1009</v>
      </c>
      <c r="O30" t="s">
        <v>86</v>
      </c>
      <c r="P30" t="s">
        <v>86</v>
      </c>
      <c r="Q30">
        <v>1</v>
      </c>
      <c r="Y30">
        <v>0.1</v>
      </c>
      <c r="AA30">
        <v>51.2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</v>
      </c>
      <c r="AV30">
        <v>0</v>
      </c>
    </row>
    <row r="31" spans="1:48" ht="12.75">
      <c r="A31">
        <f>ROW(Source!A28)</f>
        <v>28</v>
      </c>
      <c r="B31">
        <v>4646892</v>
      </c>
      <c r="C31">
        <v>4646879</v>
      </c>
      <c r="D31">
        <v>4073715</v>
      </c>
      <c r="E31">
        <v>1</v>
      </c>
      <c r="F31">
        <v>1</v>
      </c>
      <c r="G31">
        <v>1</v>
      </c>
      <c r="H31">
        <v>3</v>
      </c>
      <c r="I31" t="s">
        <v>311</v>
      </c>
      <c r="J31" t="s">
        <v>312</v>
      </c>
      <c r="K31" t="s">
        <v>313</v>
      </c>
      <c r="L31">
        <v>1371</v>
      </c>
      <c r="N31">
        <v>1013</v>
      </c>
      <c r="O31" t="s">
        <v>314</v>
      </c>
      <c r="P31" t="s">
        <v>314</v>
      </c>
      <c r="Q31">
        <v>1</v>
      </c>
      <c r="Y31">
        <v>20</v>
      </c>
      <c r="AA31">
        <v>5.89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20</v>
      </c>
      <c r="AV31">
        <v>0</v>
      </c>
    </row>
    <row r="32" spans="1:48" ht="12.75">
      <c r="A32">
        <f>ROW(Source!A28)</f>
        <v>28</v>
      </c>
      <c r="B32">
        <v>4646893</v>
      </c>
      <c r="C32">
        <v>4646879</v>
      </c>
      <c r="D32">
        <v>4101246</v>
      </c>
      <c r="E32">
        <v>1</v>
      </c>
      <c r="F32">
        <v>1</v>
      </c>
      <c r="G32">
        <v>1</v>
      </c>
      <c r="H32">
        <v>3</v>
      </c>
      <c r="I32" t="s">
        <v>315</v>
      </c>
      <c r="J32" t="s">
        <v>316</v>
      </c>
      <c r="K32" t="s">
        <v>317</v>
      </c>
      <c r="L32">
        <v>1339</v>
      </c>
      <c r="N32">
        <v>1007</v>
      </c>
      <c r="O32" t="s">
        <v>271</v>
      </c>
      <c r="P32" t="s">
        <v>271</v>
      </c>
      <c r="Q32">
        <v>1</v>
      </c>
      <c r="Y32">
        <v>0.02</v>
      </c>
      <c r="AA32">
        <v>424.88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0.02</v>
      </c>
      <c r="AV32">
        <v>0</v>
      </c>
    </row>
    <row r="33" spans="1:48" ht="12.75">
      <c r="A33">
        <f>ROW(Source!A29)</f>
        <v>29</v>
      </c>
      <c r="B33">
        <v>4647317</v>
      </c>
      <c r="C33">
        <v>4647316</v>
      </c>
      <c r="D33">
        <v>4161716</v>
      </c>
      <c r="E33">
        <v>1</v>
      </c>
      <c r="F33">
        <v>1</v>
      </c>
      <c r="G33">
        <v>1</v>
      </c>
      <c r="H33">
        <v>1</v>
      </c>
      <c r="I33" t="s">
        <v>318</v>
      </c>
      <c r="K33" t="s">
        <v>319</v>
      </c>
      <c r="L33">
        <v>1476</v>
      </c>
      <c r="N33">
        <v>1013</v>
      </c>
      <c r="O33" t="s">
        <v>248</v>
      </c>
      <c r="P33" t="s">
        <v>249</v>
      </c>
      <c r="Q33">
        <v>1</v>
      </c>
      <c r="Y33">
        <v>22.35</v>
      </c>
      <c r="AA33">
        <v>0</v>
      </c>
      <c r="AB33">
        <v>0</v>
      </c>
      <c r="AC33">
        <v>0</v>
      </c>
      <c r="AD33">
        <v>8.74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22.35</v>
      </c>
      <c r="AV33">
        <v>1</v>
      </c>
    </row>
    <row r="34" spans="1:48" ht="12.75">
      <c r="A34">
        <f>ROW(Source!A29)</f>
        <v>29</v>
      </c>
      <c r="B34">
        <v>4647318</v>
      </c>
      <c r="C34">
        <v>4647316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25</v>
      </c>
      <c r="K34" t="s">
        <v>260</v>
      </c>
      <c r="L34">
        <v>608254</v>
      </c>
      <c r="N34">
        <v>1013</v>
      </c>
      <c r="O34" t="s">
        <v>261</v>
      </c>
      <c r="P34" t="s">
        <v>261</v>
      </c>
      <c r="Q34">
        <v>1</v>
      </c>
      <c r="Y34">
        <v>0.25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0.25</v>
      </c>
      <c r="AV34">
        <v>2</v>
      </c>
    </row>
    <row r="35" spans="1:48" ht="12.75">
      <c r="A35">
        <f>ROW(Source!A29)</f>
        <v>29</v>
      </c>
      <c r="B35">
        <v>4647319</v>
      </c>
      <c r="C35">
        <v>4647316</v>
      </c>
      <c r="D35">
        <v>4064532</v>
      </c>
      <c r="E35">
        <v>1</v>
      </c>
      <c r="F35">
        <v>1</v>
      </c>
      <c r="G35">
        <v>1</v>
      </c>
      <c r="H35">
        <v>2</v>
      </c>
      <c r="I35" t="s">
        <v>274</v>
      </c>
      <c r="J35" t="s">
        <v>275</v>
      </c>
      <c r="K35" t="s">
        <v>276</v>
      </c>
      <c r="L35">
        <v>1368</v>
      </c>
      <c r="N35">
        <v>1011</v>
      </c>
      <c r="O35" t="s">
        <v>253</v>
      </c>
      <c r="P35" t="s">
        <v>253</v>
      </c>
      <c r="Q35">
        <v>1</v>
      </c>
      <c r="Y35">
        <v>0.15</v>
      </c>
      <c r="AA35">
        <v>0</v>
      </c>
      <c r="AB35">
        <v>13.25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0.15</v>
      </c>
      <c r="AV35">
        <v>0</v>
      </c>
    </row>
    <row r="36" spans="1:48" ht="12.75">
      <c r="A36">
        <f>ROW(Source!A29)</f>
        <v>29</v>
      </c>
      <c r="B36">
        <v>4647320</v>
      </c>
      <c r="C36">
        <v>4647316</v>
      </c>
      <c r="D36">
        <v>4065299</v>
      </c>
      <c r="E36">
        <v>1</v>
      </c>
      <c r="F36">
        <v>1</v>
      </c>
      <c r="G36">
        <v>1</v>
      </c>
      <c r="H36">
        <v>2</v>
      </c>
      <c r="I36" t="s">
        <v>320</v>
      </c>
      <c r="J36" t="s">
        <v>321</v>
      </c>
      <c r="K36" t="s">
        <v>322</v>
      </c>
      <c r="L36">
        <v>1480</v>
      </c>
      <c r="N36">
        <v>1013</v>
      </c>
      <c r="O36" t="s">
        <v>288</v>
      </c>
      <c r="P36" t="s">
        <v>289</v>
      </c>
      <c r="Q36">
        <v>1</v>
      </c>
      <c r="Y36">
        <v>0.75</v>
      </c>
      <c r="AA36">
        <v>0</v>
      </c>
      <c r="AB36">
        <v>18.05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0.75</v>
      </c>
      <c r="AV36">
        <v>0</v>
      </c>
    </row>
    <row r="37" spans="1:48" ht="12.75">
      <c r="A37">
        <f>ROW(Source!A29)</f>
        <v>29</v>
      </c>
      <c r="B37">
        <v>4647321</v>
      </c>
      <c r="C37">
        <v>4647316</v>
      </c>
      <c r="D37">
        <v>4067370</v>
      </c>
      <c r="E37">
        <v>1</v>
      </c>
      <c r="F37">
        <v>1</v>
      </c>
      <c r="G37">
        <v>1</v>
      </c>
      <c r="H37">
        <v>2</v>
      </c>
      <c r="I37" t="s">
        <v>262</v>
      </c>
      <c r="J37" t="s">
        <v>263</v>
      </c>
      <c r="K37" t="s">
        <v>264</v>
      </c>
      <c r="L37">
        <v>1368</v>
      </c>
      <c r="N37">
        <v>1011</v>
      </c>
      <c r="O37" t="s">
        <v>253</v>
      </c>
      <c r="P37" t="s">
        <v>253</v>
      </c>
      <c r="Q37">
        <v>1</v>
      </c>
      <c r="Y37">
        <v>0.1</v>
      </c>
      <c r="AA37">
        <v>0</v>
      </c>
      <c r="AB37">
        <v>60.77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0.1</v>
      </c>
      <c r="AV37">
        <v>0</v>
      </c>
    </row>
    <row r="38" spans="1:48" ht="12.75">
      <c r="A38">
        <f>ROW(Source!A29)</f>
        <v>29</v>
      </c>
      <c r="B38">
        <v>4647322</v>
      </c>
      <c r="C38">
        <v>4647316</v>
      </c>
      <c r="D38">
        <v>4069135</v>
      </c>
      <c r="E38">
        <v>1</v>
      </c>
      <c r="F38">
        <v>1</v>
      </c>
      <c r="G38">
        <v>1</v>
      </c>
      <c r="H38">
        <v>3</v>
      </c>
      <c r="I38" t="s">
        <v>323</v>
      </c>
      <c r="J38" t="s">
        <v>324</v>
      </c>
      <c r="K38" t="s">
        <v>325</v>
      </c>
      <c r="L38">
        <v>1348</v>
      </c>
      <c r="N38">
        <v>1009</v>
      </c>
      <c r="O38" t="s">
        <v>257</v>
      </c>
      <c r="P38" t="s">
        <v>257</v>
      </c>
      <c r="Q38">
        <v>1000</v>
      </c>
      <c r="Y38">
        <v>0.33</v>
      </c>
      <c r="AA38">
        <v>6965.98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0.33</v>
      </c>
      <c r="AV38">
        <v>0</v>
      </c>
    </row>
    <row r="39" spans="1:48" ht="12.75">
      <c r="A39">
        <f>ROW(Source!A29)</f>
        <v>29</v>
      </c>
      <c r="B39">
        <v>4647323</v>
      </c>
      <c r="C39">
        <v>4647316</v>
      </c>
      <c r="D39">
        <v>4072674</v>
      </c>
      <c r="E39">
        <v>1</v>
      </c>
      <c r="F39">
        <v>1</v>
      </c>
      <c r="G39">
        <v>1</v>
      </c>
      <c r="H39">
        <v>3</v>
      </c>
      <c r="I39" t="s">
        <v>45</v>
      </c>
      <c r="J39" t="s">
        <v>48</v>
      </c>
      <c r="K39" t="s">
        <v>46</v>
      </c>
      <c r="L39">
        <v>1327</v>
      </c>
      <c r="N39">
        <v>1005</v>
      </c>
      <c r="O39" t="s">
        <v>47</v>
      </c>
      <c r="P39" t="s">
        <v>47</v>
      </c>
      <c r="Q39">
        <v>1</v>
      </c>
      <c r="Y39">
        <v>115</v>
      </c>
      <c r="AA39">
        <v>7.46</v>
      </c>
      <c r="AB39">
        <v>0</v>
      </c>
      <c r="AC39">
        <v>0</v>
      </c>
      <c r="AD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T39">
        <v>115</v>
      </c>
      <c r="AV39">
        <v>0</v>
      </c>
    </row>
    <row r="40" spans="1:48" ht="12.75">
      <c r="A40">
        <f>ROW(Source!A29)</f>
        <v>29</v>
      </c>
      <c r="B40">
        <v>4647324</v>
      </c>
      <c r="C40">
        <v>4647316</v>
      </c>
      <c r="D40">
        <v>4125739</v>
      </c>
      <c r="E40">
        <v>1</v>
      </c>
      <c r="F40">
        <v>1</v>
      </c>
      <c r="G40">
        <v>1</v>
      </c>
      <c r="H40">
        <v>3</v>
      </c>
      <c r="I40" t="s">
        <v>254</v>
      </c>
      <c r="J40" t="s">
        <v>255</v>
      </c>
      <c r="K40" t="s">
        <v>256</v>
      </c>
      <c r="L40">
        <v>1348</v>
      </c>
      <c r="N40">
        <v>1009</v>
      </c>
      <c r="O40" t="s">
        <v>257</v>
      </c>
      <c r="P40" t="s">
        <v>257</v>
      </c>
      <c r="Q40">
        <v>1000</v>
      </c>
      <c r="Y40">
        <v>0.34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0.34</v>
      </c>
      <c r="AV40">
        <v>0</v>
      </c>
    </row>
    <row r="41" spans="1:48" ht="12.75">
      <c r="A41">
        <f>ROW(Source!A31)</f>
        <v>31</v>
      </c>
      <c r="B41">
        <v>4647249</v>
      </c>
      <c r="C41">
        <v>4647248</v>
      </c>
      <c r="D41">
        <v>4159351</v>
      </c>
      <c r="E41">
        <v>1</v>
      </c>
      <c r="F41">
        <v>1</v>
      </c>
      <c r="G41">
        <v>1</v>
      </c>
      <c r="H41">
        <v>1</v>
      </c>
      <c r="I41" t="s">
        <v>258</v>
      </c>
      <c r="K41" t="s">
        <v>259</v>
      </c>
      <c r="L41">
        <v>1476</v>
      </c>
      <c r="N41">
        <v>1013</v>
      </c>
      <c r="O41" t="s">
        <v>248</v>
      </c>
      <c r="P41" t="s">
        <v>249</v>
      </c>
      <c r="Q41">
        <v>1</v>
      </c>
      <c r="Y41">
        <v>309.3</v>
      </c>
      <c r="AA41">
        <v>0</v>
      </c>
      <c r="AB41">
        <v>0</v>
      </c>
      <c r="AC41">
        <v>0</v>
      </c>
      <c r="AD41">
        <v>7.93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309.3</v>
      </c>
      <c r="AV41">
        <v>1</v>
      </c>
    </row>
    <row r="42" spans="1:48" ht="12.75">
      <c r="A42">
        <f>ROW(Source!A31)</f>
        <v>31</v>
      </c>
      <c r="B42">
        <v>4647250</v>
      </c>
      <c r="C42">
        <v>4647248</v>
      </c>
      <c r="D42">
        <v>4064462</v>
      </c>
      <c r="E42">
        <v>1</v>
      </c>
      <c r="F42">
        <v>1</v>
      </c>
      <c r="G42">
        <v>1</v>
      </c>
      <c r="H42">
        <v>2</v>
      </c>
      <c r="I42" t="s">
        <v>250</v>
      </c>
      <c r="J42" t="s">
        <v>251</v>
      </c>
      <c r="K42" t="s">
        <v>252</v>
      </c>
      <c r="L42">
        <v>1368</v>
      </c>
      <c r="N42">
        <v>1011</v>
      </c>
      <c r="O42" t="s">
        <v>253</v>
      </c>
      <c r="P42" t="s">
        <v>253</v>
      </c>
      <c r="Q42">
        <v>1</v>
      </c>
      <c r="Y42">
        <v>6.1</v>
      </c>
      <c r="AA42">
        <v>0</v>
      </c>
      <c r="AB42">
        <v>2.77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6.1</v>
      </c>
      <c r="AV42">
        <v>0</v>
      </c>
    </row>
    <row r="43" spans="1:48" ht="12.75">
      <c r="A43">
        <f>ROW(Source!A31)</f>
        <v>31</v>
      </c>
      <c r="B43">
        <v>4647251</v>
      </c>
      <c r="C43">
        <v>4647248</v>
      </c>
      <c r="D43">
        <v>4125739</v>
      </c>
      <c r="E43">
        <v>1</v>
      </c>
      <c r="F43">
        <v>1</v>
      </c>
      <c r="G43">
        <v>1</v>
      </c>
      <c r="H43">
        <v>3</v>
      </c>
      <c r="I43" t="s">
        <v>254</v>
      </c>
      <c r="J43" t="s">
        <v>255</v>
      </c>
      <c r="K43" t="s">
        <v>256</v>
      </c>
      <c r="L43">
        <v>1348</v>
      </c>
      <c r="N43">
        <v>1009</v>
      </c>
      <c r="O43" t="s">
        <v>257</v>
      </c>
      <c r="P43" t="s">
        <v>257</v>
      </c>
      <c r="Q43">
        <v>1000</v>
      </c>
      <c r="Y43">
        <v>5.6</v>
      </c>
      <c r="AA43">
        <v>0</v>
      </c>
      <c r="AB43">
        <v>0</v>
      </c>
      <c r="AC43">
        <v>0</v>
      </c>
      <c r="AD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5.6</v>
      </c>
      <c r="AV43">
        <v>0</v>
      </c>
    </row>
    <row r="44" spans="1:48" ht="12.75">
      <c r="A44">
        <f>ROW(Source!A32)</f>
        <v>32</v>
      </c>
      <c r="B44">
        <v>4647254</v>
      </c>
      <c r="C44">
        <v>4647253</v>
      </c>
      <c r="D44">
        <v>4157999</v>
      </c>
      <c r="E44">
        <v>1</v>
      </c>
      <c r="F44">
        <v>1</v>
      </c>
      <c r="G44">
        <v>1</v>
      </c>
      <c r="H44">
        <v>1</v>
      </c>
      <c r="I44" t="s">
        <v>272</v>
      </c>
      <c r="K44" t="s">
        <v>273</v>
      </c>
      <c r="L44">
        <v>1476</v>
      </c>
      <c r="N44">
        <v>1013</v>
      </c>
      <c r="O44" t="s">
        <v>248</v>
      </c>
      <c r="P44" t="s">
        <v>249</v>
      </c>
      <c r="Q44">
        <v>1</v>
      </c>
      <c r="Y44">
        <v>7.624499999999999</v>
      </c>
      <c r="AA44">
        <v>0</v>
      </c>
      <c r="AB44">
        <v>0</v>
      </c>
      <c r="AC44">
        <v>0</v>
      </c>
      <c r="AD44">
        <v>8.52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6.63</v>
      </c>
      <c r="AU44" t="s">
        <v>60</v>
      </c>
      <c r="AV44">
        <v>1</v>
      </c>
    </row>
    <row r="45" spans="1:48" ht="12.75">
      <c r="A45">
        <f>ROW(Source!A32)</f>
        <v>32</v>
      </c>
      <c r="B45">
        <v>4647255</v>
      </c>
      <c r="C45">
        <v>4647253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25</v>
      </c>
      <c r="K45" t="s">
        <v>260</v>
      </c>
      <c r="L45">
        <v>608254</v>
      </c>
      <c r="N45">
        <v>1013</v>
      </c>
      <c r="O45" t="s">
        <v>261</v>
      </c>
      <c r="P45" t="s">
        <v>261</v>
      </c>
      <c r="Q45">
        <v>1</v>
      </c>
      <c r="Y45">
        <v>0.275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0.22</v>
      </c>
      <c r="AU45" t="s">
        <v>59</v>
      </c>
      <c r="AV45">
        <v>2</v>
      </c>
    </row>
    <row r="46" spans="1:48" ht="12.75">
      <c r="A46">
        <f>ROW(Source!A32)</f>
        <v>32</v>
      </c>
      <c r="B46">
        <v>4647256</v>
      </c>
      <c r="C46">
        <v>4647253</v>
      </c>
      <c r="D46">
        <v>4064233</v>
      </c>
      <c r="E46">
        <v>1</v>
      </c>
      <c r="F46">
        <v>1</v>
      </c>
      <c r="G46">
        <v>1</v>
      </c>
      <c r="H46">
        <v>2</v>
      </c>
      <c r="I46" t="s">
        <v>290</v>
      </c>
      <c r="J46" t="s">
        <v>291</v>
      </c>
      <c r="K46" t="s">
        <v>292</v>
      </c>
      <c r="L46">
        <v>1368</v>
      </c>
      <c r="N46">
        <v>1011</v>
      </c>
      <c r="O46" t="s">
        <v>253</v>
      </c>
      <c r="P46" t="s">
        <v>253</v>
      </c>
      <c r="Q46">
        <v>1</v>
      </c>
      <c r="Y46">
        <v>0.1375</v>
      </c>
      <c r="AA46">
        <v>0</v>
      </c>
      <c r="AB46">
        <v>123.73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0.11</v>
      </c>
      <c r="AU46" t="s">
        <v>59</v>
      </c>
      <c r="AV46">
        <v>0</v>
      </c>
    </row>
    <row r="47" spans="1:48" ht="12.75">
      <c r="A47">
        <f>ROW(Source!A32)</f>
        <v>32</v>
      </c>
      <c r="B47">
        <v>4647257</v>
      </c>
      <c r="C47">
        <v>4647253</v>
      </c>
      <c r="D47">
        <v>4066880</v>
      </c>
      <c r="E47">
        <v>1</v>
      </c>
      <c r="F47">
        <v>1</v>
      </c>
      <c r="G47">
        <v>1</v>
      </c>
      <c r="H47">
        <v>2</v>
      </c>
      <c r="I47" t="s">
        <v>326</v>
      </c>
      <c r="J47" t="s">
        <v>327</v>
      </c>
      <c r="K47" t="s">
        <v>328</v>
      </c>
      <c r="L47">
        <v>1480</v>
      </c>
      <c r="N47">
        <v>1013</v>
      </c>
      <c r="O47" t="s">
        <v>288</v>
      </c>
      <c r="P47" t="s">
        <v>289</v>
      </c>
      <c r="Q47">
        <v>1</v>
      </c>
      <c r="Y47">
        <v>0.2</v>
      </c>
      <c r="AA47">
        <v>0</v>
      </c>
      <c r="AB47">
        <v>0.15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0.16</v>
      </c>
      <c r="AU47" t="s">
        <v>59</v>
      </c>
      <c r="AV47">
        <v>0</v>
      </c>
    </row>
    <row r="48" spans="1:48" ht="12.75">
      <c r="A48">
        <f>ROW(Source!A32)</f>
        <v>32</v>
      </c>
      <c r="B48">
        <v>4647258</v>
      </c>
      <c r="C48">
        <v>4647253</v>
      </c>
      <c r="D48">
        <v>4067370</v>
      </c>
      <c r="E48">
        <v>1</v>
      </c>
      <c r="F48">
        <v>1</v>
      </c>
      <c r="G48">
        <v>1</v>
      </c>
      <c r="H48">
        <v>2</v>
      </c>
      <c r="I48" t="s">
        <v>262</v>
      </c>
      <c r="J48" t="s">
        <v>263</v>
      </c>
      <c r="K48" t="s">
        <v>264</v>
      </c>
      <c r="L48">
        <v>1368</v>
      </c>
      <c r="N48">
        <v>1011</v>
      </c>
      <c r="O48" t="s">
        <v>253</v>
      </c>
      <c r="P48" t="s">
        <v>253</v>
      </c>
      <c r="Q48">
        <v>1</v>
      </c>
      <c r="Y48">
        <v>0.1375</v>
      </c>
      <c r="AA48">
        <v>0</v>
      </c>
      <c r="AB48">
        <v>60.77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0.11</v>
      </c>
      <c r="AU48" t="s">
        <v>59</v>
      </c>
      <c r="AV48">
        <v>0</v>
      </c>
    </row>
    <row r="49" spans="1:48" ht="12.75">
      <c r="A49">
        <f>ROW(Source!A32)</f>
        <v>32</v>
      </c>
      <c r="B49">
        <v>4647259</v>
      </c>
      <c r="C49">
        <v>4647253</v>
      </c>
      <c r="D49">
        <v>4071695</v>
      </c>
      <c r="E49">
        <v>1</v>
      </c>
      <c r="F49">
        <v>1</v>
      </c>
      <c r="G49">
        <v>1</v>
      </c>
      <c r="H49">
        <v>3</v>
      </c>
      <c r="I49" t="s">
        <v>265</v>
      </c>
      <c r="J49" t="s">
        <v>266</v>
      </c>
      <c r="K49" t="s">
        <v>267</v>
      </c>
      <c r="L49">
        <v>1348</v>
      </c>
      <c r="N49">
        <v>1009</v>
      </c>
      <c r="O49" t="s">
        <v>257</v>
      </c>
      <c r="P49" t="s">
        <v>257</v>
      </c>
      <c r="Q49">
        <v>1000</v>
      </c>
      <c r="Y49">
        <v>0.0014</v>
      </c>
      <c r="AA49">
        <v>7696.95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0.0014</v>
      </c>
      <c r="AV49">
        <v>0</v>
      </c>
    </row>
    <row r="50" spans="1:48" ht="12.75">
      <c r="A50">
        <f>ROW(Source!A32)</f>
        <v>32</v>
      </c>
      <c r="B50">
        <v>4647260</v>
      </c>
      <c r="C50">
        <v>4647253</v>
      </c>
      <c r="D50">
        <v>4073792</v>
      </c>
      <c r="E50">
        <v>1</v>
      </c>
      <c r="F50">
        <v>1</v>
      </c>
      <c r="G50">
        <v>1</v>
      </c>
      <c r="H50">
        <v>3</v>
      </c>
      <c r="I50" t="s">
        <v>329</v>
      </c>
      <c r="J50" t="s">
        <v>330</v>
      </c>
      <c r="K50" t="s">
        <v>331</v>
      </c>
      <c r="L50">
        <v>1339</v>
      </c>
      <c r="N50">
        <v>1007</v>
      </c>
      <c r="O50" t="s">
        <v>271</v>
      </c>
      <c r="P50" t="s">
        <v>271</v>
      </c>
      <c r="Q50">
        <v>1</v>
      </c>
      <c r="Y50">
        <v>0.06</v>
      </c>
      <c r="AA50">
        <v>625.09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0.06</v>
      </c>
      <c r="AV50">
        <v>0</v>
      </c>
    </row>
    <row r="51" spans="1:48" ht="12.75">
      <c r="A51">
        <f>ROW(Source!A32)</f>
        <v>32</v>
      </c>
      <c r="B51">
        <v>4647261</v>
      </c>
      <c r="C51">
        <v>4647253</v>
      </c>
      <c r="D51">
        <v>4073888</v>
      </c>
      <c r="E51">
        <v>1</v>
      </c>
      <c r="F51">
        <v>1</v>
      </c>
      <c r="G51">
        <v>1</v>
      </c>
      <c r="H51">
        <v>3</v>
      </c>
      <c r="I51" t="s">
        <v>332</v>
      </c>
      <c r="J51" t="s">
        <v>333</v>
      </c>
      <c r="K51" t="s">
        <v>334</v>
      </c>
      <c r="L51">
        <v>1339</v>
      </c>
      <c r="N51">
        <v>1007</v>
      </c>
      <c r="O51" t="s">
        <v>271</v>
      </c>
      <c r="P51" t="s">
        <v>271</v>
      </c>
      <c r="Q51">
        <v>1</v>
      </c>
      <c r="Y51">
        <v>0.06</v>
      </c>
      <c r="AA51">
        <v>1119.14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0.06</v>
      </c>
      <c r="AV51">
        <v>0</v>
      </c>
    </row>
    <row r="52" spans="1:48" ht="12.75">
      <c r="A52">
        <f>ROW(Source!A32)</f>
        <v>32</v>
      </c>
      <c r="B52">
        <v>4647262</v>
      </c>
      <c r="C52">
        <v>4647253</v>
      </c>
      <c r="D52">
        <v>4073912</v>
      </c>
      <c r="E52">
        <v>1</v>
      </c>
      <c r="F52">
        <v>1</v>
      </c>
      <c r="G52">
        <v>1</v>
      </c>
      <c r="H52">
        <v>3</v>
      </c>
      <c r="I52" t="s">
        <v>335</v>
      </c>
      <c r="J52" t="s">
        <v>336</v>
      </c>
      <c r="K52" t="s">
        <v>337</v>
      </c>
      <c r="L52">
        <v>1339</v>
      </c>
      <c r="N52">
        <v>1007</v>
      </c>
      <c r="O52" t="s">
        <v>271</v>
      </c>
      <c r="P52" t="s">
        <v>271</v>
      </c>
      <c r="Q52">
        <v>1</v>
      </c>
      <c r="Y52">
        <v>0.1</v>
      </c>
      <c r="AA52">
        <v>1311.95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0.1</v>
      </c>
      <c r="AV52">
        <v>0</v>
      </c>
    </row>
    <row r="53" spans="1:48" ht="12.75">
      <c r="A53">
        <f>ROW(Source!A32)</f>
        <v>32</v>
      </c>
      <c r="B53">
        <v>4647263</v>
      </c>
      <c r="C53">
        <v>4647253</v>
      </c>
      <c r="D53">
        <v>4090227</v>
      </c>
      <c r="E53">
        <v>1</v>
      </c>
      <c r="F53">
        <v>1</v>
      </c>
      <c r="G53">
        <v>1</v>
      </c>
      <c r="H53">
        <v>3</v>
      </c>
      <c r="I53" t="s">
        <v>64</v>
      </c>
      <c r="J53" t="s">
        <v>66</v>
      </c>
      <c r="K53" t="s">
        <v>65</v>
      </c>
      <c r="L53">
        <v>1327</v>
      </c>
      <c r="N53">
        <v>1005</v>
      </c>
      <c r="O53" t="s">
        <v>47</v>
      </c>
      <c r="P53" t="s">
        <v>47</v>
      </c>
      <c r="Q53">
        <v>1</v>
      </c>
      <c r="Y53">
        <v>0.833333</v>
      </c>
      <c r="AA53">
        <v>161.47</v>
      </c>
      <c r="AB53">
        <v>0</v>
      </c>
      <c r="AC53">
        <v>0</v>
      </c>
      <c r="AD53">
        <v>0</v>
      </c>
      <c r="AN53">
        <v>1</v>
      </c>
      <c r="AO53">
        <v>0</v>
      </c>
      <c r="AP53">
        <v>0</v>
      </c>
      <c r="AQ53">
        <v>0</v>
      </c>
      <c r="AR53">
        <v>0</v>
      </c>
      <c r="AT53">
        <v>0.833333</v>
      </c>
      <c r="AV53">
        <v>0</v>
      </c>
    </row>
    <row r="54" spans="1:48" ht="12.75">
      <c r="A54">
        <f>ROW(Source!A32)</f>
        <v>32</v>
      </c>
      <c r="B54">
        <v>4647264</v>
      </c>
      <c r="C54">
        <v>4647253</v>
      </c>
      <c r="D54">
        <v>4090342</v>
      </c>
      <c r="E54">
        <v>1</v>
      </c>
      <c r="F54">
        <v>1</v>
      </c>
      <c r="G54">
        <v>1</v>
      </c>
      <c r="H54">
        <v>3</v>
      </c>
      <c r="I54" t="s">
        <v>338</v>
      </c>
      <c r="J54" t="s">
        <v>339</v>
      </c>
      <c r="K54" t="s">
        <v>340</v>
      </c>
      <c r="L54">
        <v>1035</v>
      </c>
      <c r="N54">
        <v>1013</v>
      </c>
      <c r="O54" t="s">
        <v>341</v>
      </c>
      <c r="P54" t="s">
        <v>341</v>
      </c>
      <c r="Q54">
        <v>1</v>
      </c>
      <c r="Y54">
        <v>0</v>
      </c>
      <c r="AA54">
        <v>39.55</v>
      </c>
      <c r="AB54">
        <v>0</v>
      </c>
      <c r="AC54">
        <v>0</v>
      </c>
      <c r="AD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T54">
        <v>0</v>
      </c>
      <c r="AV54">
        <v>0</v>
      </c>
    </row>
    <row r="55" spans="1:48" ht="12.75">
      <c r="A55">
        <f>ROW(Source!A35)</f>
        <v>35</v>
      </c>
      <c r="B55">
        <v>4646987</v>
      </c>
      <c r="C55">
        <v>4646986</v>
      </c>
      <c r="D55">
        <v>4156856</v>
      </c>
      <c r="E55">
        <v>1</v>
      </c>
      <c r="F55">
        <v>1</v>
      </c>
      <c r="G55">
        <v>1</v>
      </c>
      <c r="H55">
        <v>1</v>
      </c>
      <c r="I55" t="s">
        <v>342</v>
      </c>
      <c r="K55" t="s">
        <v>343</v>
      </c>
      <c r="L55">
        <v>1476</v>
      </c>
      <c r="N55">
        <v>1013</v>
      </c>
      <c r="O55" t="s">
        <v>248</v>
      </c>
      <c r="P55" t="s">
        <v>249</v>
      </c>
      <c r="Q55">
        <v>1</v>
      </c>
      <c r="Y55">
        <v>103</v>
      </c>
      <c r="AA55">
        <v>0</v>
      </c>
      <c r="AB55">
        <v>0</v>
      </c>
      <c r="AC55">
        <v>0</v>
      </c>
      <c r="AD55">
        <v>9.07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103</v>
      </c>
      <c r="AV55">
        <v>1</v>
      </c>
    </row>
    <row r="56" spans="1:48" ht="12.75">
      <c r="A56">
        <f>ROW(Source!A35)</f>
        <v>35</v>
      </c>
      <c r="B56">
        <v>4646988</v>
      </c>
      <c r="C56">
        <v>4646986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25</v>
      </c>
      <c r="K56" t="s">
        <v>260</v>
      </c>
      <c r="L56">
        <v>608254</v>
      </c>
      <c r="N56">
        <v>1013</v>
      </c>
      <c r="O56" t="s">
        <v>261</v>
      </c>
      <c r="P56" t="s">
        <v>261</v>
      </c>
      <c r="Q56">
        <v>1</v>
      </c>
      <c r="Y56">
        <v>0.12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0.12</v>
      </c>
      <c r="AV56">
        <v>2</v>
      </c>
    </row>
    <row r="57" spans="1:48" ht="12.75">
      <c r="A57">
        <f>ROW(Source!A35)</f>
        <v>35</v>
      </c>
      <c r="B57">
        <v>4646989</v>
      </c>
      <c r="C57">
        <v>4646986</v>
      </c>
      <c r="D57">
        <v>4067370</v>
      </c>
      <c r="E57">
        <v>1</v>
      </c>
      <c r="F57">
        <v>1</v>
      </c>
      <c r="G57">
        <v>1</v>
      </c>
      <c r="H57">
        <v>2</v>
      </c>
      <c r="I57" t="s">
        <v>262</v>
      </c>
      <c r="J57" t="s">
        <v>263</v>
      </c>
      <c r="K57" t="s">
        <v>264</v>
      </c>
      <c r="L57">
        <v>1368</v>
      </c>
      <c r="N57">
        <v>1011</v>
      </c>
      <c r="O57" t="s">
        <v>253</v>
      </c>
      <c r="P57" t="s">
        <v>253</v>
      </c>
      <c r="Q57">
        <v>1</v>
      </c>
      <c r="Y57">
        <v>0.12</v>
      </c>
      <c r="AA57">
        <v>0</v>
      </c>
      <c r="AB57">
        <v>60.77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0.12</v>
      </c>
      <c r="AV57">
        <v>0</v>
      </c>
    </row>
    <row r="58" spans="1:48" ht="12.75">
      <c r="A58">
        <f>ROW(Source!A35)</f>
        <v>35</v>
      </c>
      <c r="B58">
        <v>4646990</v>
      </c>
      <c r="C58">
        <v>4646986</v>
      </c>
      <c r="D58">
        <v>4068676</v>
      </c>
      <c r="E58">
        <v>1</v>
      </c>
      <c r="F58">
        <v>1</v>
      </c>
      <c r="G58">
        <v>1</v>
      </c>
      <c r="H58">
        <v>3</v>
      </c>
      <c r="I58" t="s">
        <v>344</v>
      </c>
      <c r="J58" t="s">
        <v>345</v>
      </c>
      <c r="K58" t="s">
        <v>346</v>
      </c>
      <c r="L58">
        <v>1348</v>
      </c>
      <c r="N58">
        <v>1009</v>
      </c>
      <c r="O58" t="s">
        <v>257</v>
      </c>
      <c r="P58" t="s">
        <v>257</v>
      </c>
      <c r="Q58">
        <v>1000</v>
      </c>
      <c r="Y58">
        <v>0.0025</v>
      </c>
      <c r="AA58">
        <v>13884.14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0.0025</v>
      </c>
      <c r="AV58">
        <v>0</v>
      </c>
    </row>
    <row r="59" spans="1:48" ht="12.75">
      <c r="A59">
        <f>ROW(Source!A35)</f>
        <v>35</v>
      </c>
      <c r="B59">
        <v>4646991</v>
      </c>
      <c r="C59">
        <v>4646986</v>
      </c>
      <c r="D59">
        <v>4069221</v>
      </c>
      <c r="E59">
        <v>1</v>
      </c>
      <c r="F59">
        <v>1</v>
      </c>
      <c r="G59">
        <v>1</v>
      </c>
      <c r="H59">
        <v>3</v>
      </c>
      <c r="I59" t="s">
        <v>347</v>
      </c>
      <c r="J59" t="s">
        <v>348</v>
      </c>
      <c r="K59" t="s">
        <v>349</v>
      </c>
      <c r="L59">
        <v>1348</v>
      </c>
      <c r="N59">
        <v>1009</v>
      </c>
      <c r="O59" t="s">
        <v>257</v>
      </c>
      <c r="P59" t="s">
        <v>257</v>
      </c>
      <c r="Q59">
        <v>1000</v>
      </c>
      <c r="Y59">
        <v>0.0012</v>
      </c>
      <c r="AA59">
        <v>22015.32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0.0012</v>
      </c>
      <c r="AV59">
        <v>0</v>
      </c>
    </row>
    <row r="60" spans="1:48" ht="12.75">
      <c r="A60">
        <f>ROW(Source!A35)</f>
        <v>35</v>
      </c>
      <c r="B60">
        <v>4646992</v>
      </c>
      <c r="C60">
        <v>4646986</v>
      </c>
      <c r="D60">
        <v>4071475</v>
      </c>
      <c r="E60">
        <v>1</v>
      </c>
      <c r="F60">
        <v>1</v>
      </c>
      <c r="G60">
        <v>1</v>
      </c>
      <c r="H60">
        <v>3</v>
      </c>
      <c r="I60" t="s">
        <v>350</v>
      </c>
      <c r="J60" t="s">
        <v>351</v>
      </c>
      <c r="K60" t="s">
        <v>352</v>
      </c>
      <c r="L60">
        <v>1346</v>
      </c>
      <c r="N60">
        <v>1009</v>
      </c>
      <c r="O60" t="s">
        <v>86</v>
      </c>
      <c r="P60" t="s">
        <v>86</v>
      </c>
      <c r="Q60">
        <v>1</v>
      </c>
      <c r="Y60">
        <v>1.22</v>
      </c>
      <c r="AA60">
        <v>37.18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1.22</v>
      </c>
      <c r="AV60">
        <v>0</v>
      </c>
    </row>
    <row r="61" spans="1:48" ht="12.75">
      <c r="A61">
        <f>ROW(Source!A35)</f>
        <v>35</v>
      </c>
      <c r="B61">
        <v>4646993</v>
      </c>
      <c r="C61">
        <v>4646986</v>
      </c>
      <c r="D61">
        <v>4096095</v>
      </c>
      <c r="E61">
        <v>1</v>
      </c>
      <c r="F61">
        <v>1</v>
      </c>
      <c r="G61">
        <v>1</v>
      </c>
      <c r="H61">
        <v>3</v>
      </c>
      <c r="I61" t="s">
        <v>353</v>
      </c>
      <c r="J61" t="s">
        <v>354</v>
      </c>
      <c r="K61" t="s">
        <v>355</v>
      </c>
      <c r="L61">
        <v>1354</v>
      </c>
      <c r="N61">
        <v>1010</v>
      </c>
      <c r="O61" t="s">
        <v>81</v>
      </c>
      <c r="P61" t="s">
        <v>81</v>
      </c>
      <c r="Q61">
        <v>1</v>
      </c>
      <c r="Y61">
        <v>100</v>
      </c>
      <c r="AA61">
        <v>35.43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100</v>
      </c>
      <c r="AV61">
        <v>0</v>
      </c>
    </row>
    <row r="62" spans="1:48" ht="12.75">
      <c r="A62">
        <f>ROW(Source!A35)</f>
        <v>35</v>
      </c>
      <c r="B62">
        <v>4646994</v>
      </c>
      <c r="C62">
        <v>4646986</v>
      </c>
      <c r="D62">
        <v>4125738</v>
      </c>
      <c r="E62">
        <v>1</v>
      </c>
      <c r="F62">
        <v>1</v>
      </c>
      <c r="G62">
        <v>1</v>
      </c>
      <c r="H62">
        <v>3</v>
      </c>
      <c r="I62" t="s">
        <v>356</v>
      </c>
      <c r="J62" t="s">
        <v>357</v>
      </c>
      <c r="K62" t="s">
        <v>358</v>
      </c>
      <c r="L62">
        <v>1348</v>
      </c>
      <c r="N62">
        <v>1009</v>
      </c>
      <c r="O62" t="s">
        <v>257</v>
      </c>
      <c r="P62" t="s">
        <v>257</v>
      </c>
      <c r="Q62">
        <v>1000</v>
      </c>
      <c r="Y62">
        <v>0.11</v>
      </c>
      <c r="AA62">
        <v>0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0.11</v>
      </c>
      <c r="AV62">
        <v>0</v>
      </c>
    </row>
    <row r="63" spans="1:48" ht="12.75">
      <c r="A63">
        <f>ROW(Source!A36)</f>
        <v>36</v>
      </c>
      <c r="B63">
        <v>4647271</v>
      </c>
      <c r="C63">
        <v>4647270</v>
      </c>
      <c r="D63">
        <v>4162260</v>
      </c>
      <c r="E63">
        <v>1</v>
      </c>
      <c r="F63">
        <v>1</v>
      </c>
      <c r="G63">
        <v>1</v>
      </c>
      <c r="H63">
        <v>1</v>
      </c>
      <c r="I63" t="s">
        <v>359</v>
      </c>
      <c r="K63" t="s">
        <v>360</v>
      </c>
      <c r="L63">
        <v>1476</v>
      </c>
      <c r="N63">
        <v>1013</v>
      </c>
      <c r="O63" t="s">
        <v>248</v>
      </c>
      <c r="P63" t="s">
        <v>249</v>
      </c>
      <c r="Q63">
        <v>1</v>
      </c>
      <c r="Y63">
        <v>139.61</v>
      </c>
      <c r="AA63">
        <v>0</v>
      </c>
      <c r="AB63">
        <v>0</v>
      </c>
      <c r="AC63">
        <v>0</v>
      </c>
      <c r="AD63">
        <v>9.61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121.4</v>
      </c>
      <c r="AU63" t="s">
        <v>60</v>
      </c>
      <c r="AV63">
        <v>1</v>
      </c>
    </row>
    <row r="64" spans="1:48" ht="12.75">
      <c r="A64">
        <f>ROW(Source!A36)</f>
        <v>36</v>
      </c>
      <c r="B64">
        <v>4647272</v>
      </c>
      <c r="C64">
        <v>4647270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25</v>
      </c>
      <c r="K64" t="s">
        <v>260</v>
      </c>
      <c r="L64">
        <v>608254</v>
      </c>
      <c r="N64">
        <v>1013</v>
      </c>
      <c r="O64" t="s">
        <v>261</v>
      </c>
      <c r="P64" t="s">
        <v>261</v>
      </c>
      <c r="Q64">
        <v>1</v>
      </c>
      <c r="Y64">
        <v>0.48299999999999993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0.42</v>
      </c>
      <c r="AU64" t="s">
        <v>60</v>
      </c>
      <c r="AV64">
        <v>2</v>
      </c>
    </row>
    <row r="65" spans="1:48" ht="12.75">
      <c r="A65">
        <f>ROW(Source!A36)</f>
        <v>36</v>
      </c>
      <c r="B65">
        <v>4647273</v>
      </c>
      <c r="C65">
        <v>4647270</v>
      </c>
      <c r="D65">
        <v>4064532</v>
      </c>
      <c r="E65">
        <v>1</v>
      </c>
      <c r="F65">
        <v>1</v>
      </c>
      <c r="G65">
        <v>1</v>
      </c>
      <c r="H65">
        <v>2</v>
      </c>
      <c r="I65" t="s">
        <v>274</v>
      </c>
      <c r="J65" t="s">
        <v>275</v>
      </c>
      <c r="K65" t="s">
        <v>276</v>
      </c>
      <c r="L65">
        <v>1368</v>
      </c>
      <c r="N65">
        <v>1011</v>
      </c>
      <c r="O65" t="s">
        <v>253</v>
      </c>
      <c r="P65" t="s">
        <v>253</v>
      </c>
      <c r="Q65">
        <v>1</v>
      </c>
      <c r="Y65">
        <v>0.21</v>
      </c>
      <c r="AA65">
        <v>0</v>
      </c>
      <c r="AB65">
        <v>13.25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0.21</v>
      </c>
      <c r="AV65">
        <v>0</v>
      </c>
    </row>
    <row r="66" spans="1:48" ht="12.75">
      <c r="A66">
        <f>ROW(Source!A36)</f>
        <v>36</v>
      </c>
      <c r="B66">
        <v>4647274</v>
      </c>
      <c r="C66">
        <v>4647270</v>
      </c>
      <c r="D66">
        <v>4064360</v>
      </c>
      <c r="E66">
        <v>1</v>
      </c>
      <c r="F66">
        <v>1</v>
      </c>
      <c r="G66">
        <v>1</v>
      </c>
      <c r="H66">
        <v>2</v>
      </c>
      <c r="I66" t="s">
        <v>361</v>
      </c>
      <c r="J66" t="s">
        <v>362</v>
      </c>
      <c r="K66" t="s">
        <v>363</v>
      </c>
      <c r="L66">
        <v>1368</v>
      </c>
      <c r="N66">
        <v>1011</v>
      </c>
      <c r="O66" t="s">
        <v>253</v>
      </c>
      <c r="P66" t="s">
        <v>253</v>
      </c>
      <c r="Q66">
        <v>1</v>
      </c>
      <c r="Y66">
        <v>4.58</v>
      </c>
      <c r="AA66">
        <v>0</v>
      </c>
      <c r="AB66">
        <v>2.94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4.58</v>
      </c>
      <c r="AV66">
        <v>0</v>
      </c>
    </row>
    <row r="67" spans="1:48" ht="12.75">
      <c r="A67">
        <f>ROW(Source!A36)</f>
        <v>36</v>
      </c>
      <c r="B67">
        <v>4647275</v>
      </c>
      <c r="C67">
        <v>4647270</v>
      </c>
      <c r="D67">
        <v>4064362</v>
      </c>
      <c r="E67">
        <v>1</v>
      </c>
      <c r="F67">
        <v>1</v>
      </c>
      <c r="G67">
        <v>1</v>
      </c>
      <c r="H67">
        <v>2</v>
      </c>
      <c r="I67" t="s">
        <v>364</v>
      </c>
      <c r="J67" t="s">
        <v>365</v>
      </c>
      <c r="K67" t="s">
        <v>366</v>
      </c>
      <c r="L67">
        <v>1368</v>
      </c>
      <c r="N67">
        <v>1011</v>
      </c>
      <c r="O67" t="s">
        <v>253</v>
      </c>
      <c r="P67" t="s">
        <v>253</v>
      </c>
      <c r="Q67">
        <v>1</v>
      </c>
      <c r="Y67">
        <v>3.07</v>
      </c>
      <c r="AA67">
        <v>0</v>
      </c>
      <c r="AB67">
        <v>0.86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3.07</v>
      </c>
      <c r="AV67">
        <v>0</v>
      </c>
    </row>
    <row r="68" spans="1:48" ht="12.75">
      <c r="A68">
        <f>ROW(Source!A36)</f>
        <v>36</v>
      </c>
      <c r="B68">
        <v>4647276</v>
      </c>
      <c r="C68">
        <v>4647270</v>
      </c>
      <c r="D68">
        <v>4067370</v>
      </c>
      <c r="E68">
        <v>1</v>
      </c>
      <c r="F68">
        <v>1</v>
      </c>
      <c r="G68">
        <v>1</v>
      </c>
      <c r="H68">
        <v>2</v>
      </c>
      <c r="I68" t="s">
        <v>262</v>
      </c>
      <c r="J68" t="s">
        <v>263</v>
      </c>
      <c r="K68" t="s">
        <v>264</v>
      </c>
      <c r="L68">
        <v>1368</v>
      </c>
      <c r="N68">
        <v>1011</v>
      </c>
      <c r="O68" t="s">
        <v>253</v>
      </c>
      <c r="P68" t="s">
        <v>253</v>
      </c>
      <c r="Q68">
        <v>1</v>
      </c>
      <c r="Y68">
        <v>0.21</v>
      </c>
      <c r="AA68">
        <v>0</v>
      </c>
      <c r="AB68">
        <v>60.77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0.21</v>
      </c>
      <c r="AV68">
        <v>0</v>
      </c>
    </row>
    <row r="69" spans="1:48" ht="12.75">
      <c r="A69">
        <f>ROW(Source!A36)</f>
        <v>36</v>
      </c>
      <c r="B69">
        <v>4647277</v>
      </c>
      <c r="C69">
        <v>4647270</v>
      </c>
      <c r="D69">
        <v>4068536</v>
      </c>
      <c r="E69">
        <v>1</v>
      </c>
      <c r="F69">
        <v>1</v>
      </c>
      <c r="G69">
        <v>1</v>
      </c>
      <c r="H69">
        <v>3</v>
      </c>
      <c r="I69" t="s">
        <v>367</v>
      </c>
      <c r="J69" t="s">
        <v>368</v>
      </c>
      <c r="K69" t="s">
        <v>369</v>
      </c>
      <c r="L69">
        <v>1339</v>
      </c>
      <c r="N69">
        <v>1007</v>
      </c>
      <c r="O69" t="s">
        <v>271</v>
      </c>
      <c r="P69" t="s">
        <v>271</v>
      </c>
      <c r="Q69">
        <v>1</v>
      </c>
      <c r="Y69">
        <v>0.51</v>
      </c>
      <c r="AA69">
        <v>8.21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0.51</v>
      </c>
      <c r="AV69">
        <v>0</v>
      </c>
    </row>
    <row r="70" spans="1:48" ht="12.75">
      <c r="A70">
        <f>ROW(Source!A36)</f>
        <v>36</v>
      </c>
      <c r="B70">
        <v>4647278</v>
      </c>
      <c r="C70">
        <v>4647270</v>
      </c>
      <c r="D70">
        <v>4068676</v>
      </c>
      <c r="E70">
        <v>1</v>
      </c>
      <c r="F70">
        <v>1</v>
      </c>
      <c r="G70">
        <v>1</v>
      </c>
      <c r="H70">
        <v>3</v>
      </c>
      <c r="I70" t="s">
        <v>344</v>
      </c>
      <c r="J70" t="s">
        <v>345</v>
      </c>
      <c r="K70" t="s">
        <v>346</v>
      </c>
      <c r="L70">
        <v>1348</v>
      </c>
      <c r="N70">
        <v>1009</v>
      </c>
      <c r="O70" t="s">
        <v>257</v>
      </c>
      <c r="P70" t="s">
        <v>257</v>
      </c>
      <c r="Q70">
        <v>1000</v>
      </c>
      <c r="Y70">
        <v>0.00011</v>
      </c>
      <c r="AA70">
        <v>13884.14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0.00011</v>
      </c>
      <c r="AV70">
        <v>0</v>
      </c>
    </row>
    <row r="71" spans="1:48" ht="12.75">
      <c r="A71">
        <f>ROW(Source!A36)</f>
        <v>36</v>
      </c>
      <c r="B71">
        <v>4647279</v>
      </c>
      <c r="C71">
        <v>4647270</v>
      </c>
      <c r="D71">
        <v>4069221</v>
      </c>
      <c r="E71">
        <v>1</v>
      </c>
      <c r="F71">
        <v>1</v>
      </c>
      <c r="G71">
        <v>1</v>
      </c>
      <c r="H71">
        <v>3</v>
      </c>
      <c r="I71" t="s">
        <v>347</v>
      </c>
      <c r="J71" t="s">
        <v>348</v>
      </c>
      <c r="K71" t="s">
        <v>349</v>
      </c>
      <c r="L71">
        <v>1348</v>
      </c>
      <c r="N71">
        <v>1009</v>
      </c>
      <c r="O71" t="s">
        <v>257</v>
      </c>
      <c r="P71" t="s">
        <v>257</v>
      </c>
      <c r="Q71">
        <v>1000</v>
      </c>
      <c r="Y71">
        <v>5E-05</v>
      </c>
      <c r="AA71">
        <v>22015.32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5E-05</v>
      </c>
      <c r="AV71">
        <v>0</v>
      </c>
    </row>
    <row r="72" spans="1:48" ht="12.75">
      <c r="A72">
        <f>ROW(Source!A36)</f>
        <v>36</v>
      </c>
      <c r="B72">
        <v>4647280</v>
      </c>
      <c r="C72">
        <v>4647270</v>
      </c>
      <c r="D72">
        <v>4069623</v>
      </c>
      <c r="E72">
        <v>1</v>
      </c>
      <c r="F72">
        <v>1</v>
      </c>
      <c r="G72">
        <v>1</v>
      </c>
      <c r="H72">
        <v>3</v>
      </c>
      <c r="I72" t="s">
        <v>370</v>
      </c>
      <c r="J72" t="s">
        <v>371</v>
      </c>
      <c r="K72" t="s">
        <v>372</v>
      </c>
      <c r="L72">
        <v>1348</v>
      </c>
      <c r="N72">
        <v>1009</v>
      </c>
      <c r="O72" t="s">
        <v>257</v>
      </c>
      <c r="P72" t="s">
        <v>257</v>
      </c>
      <c r="Q72">
        <v>1000</v>
      </c>
      <c r="Y72">
        <v>0.0004</v>
      </c>
      <c r="AA72">
        <v>14752.49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0.0004</v>
      </c>
      <c r="AV72">
        <v>0</v>
      </c>
    </row>
    <row r="73" spans="1:48" ht="12.75">
      <c r="A73">
        <f>ROW(Source!A36)</f>
        <v>36</v>
      </c>
      <c r="B73">
        <v>4647281</v>
      </c>
      <c r="C73">
        <v>4647270</v>
      </c>
      <c r="D73">
        <v>4071162</v>
      </c>
      <c r="E73">
        <v>1</v>
      </c>
      <c r="F73">
        <v>1</v>
      </c>
      <c r="G73">
        <v>1</v>
      </c>
      <c r="H73">
        <v>3</v>
      </c>
      <c r="I73" t="s">
        <v>373</v>
      </c>
      <c r="J73" t="s">
        <v>374</v>
      </c>
      <c r="K73" t="s">
        <v>375</v>
      </c>
      <c r="L73">
        <v>1348</v>
      </c>
      <c r="N73">
        <v>1009</v>
      </c>
      <c r="O73" t="s">
        <v>257</v>
      </c>
      <c r="P73" t="s">
        <v>257</v>
      </c>
      <c r="Q73">
        <v>1000</v>
      </c>
      <c r="Y73">
        <v>0.0019</v>
      </c>
      <c r="AA73">
        <v>8975.91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0.0019</v>
      </c>
      <c r="AV73">
        <v>0</v>
      </c>
    </row>
    <row r="74" spans="1:48" ht="12.75">
      <c r="A74">
        <f>ROW(Source!A36)</f>
        <v>36</v>
      </c>
      <c r="B74">
        <v>4647282</v>
      </c>
      <c r="C74">
        <v>4647270</v>
      </c>
      <c r="D74">
        <v>4071344</v>
      </c>
      <c r="E74">
        <v>1</v>
      </c>
      <c r="F74">
        <v>1</v>
      </c>
      <c r="G74">
        <v>1</v>
      </c>
      <c r="H74">
        <v>3</v>
      </c>
      <c r="I74" t="s">
        <v>376</v>
      </c>
      <c r="J74" t="s">
        <v>377</v>
      </c>
      <c r="K74" t="s">
        <v>378</v>
      </c>
      <c r="L74">
        <v>1339</v>
      </c>
      <c r="N74">
        <v>1007</v>
      </c>
      <c r="O74" t="s">
        <v>271</v>
      </c>
      <c r="P74" t="s">
        <v>271</v>
      </c>
      <c r="Q74">
        <v>1</v>
      </c>
      <c r="Y74">
        <v>0.23</v>
      </c>
      <c r="AA74">
        <v>46.97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0.23</v>
      </c>
      <c r="AV74">
        <v>0</v>
      </c>
    </row>
    <row r="75" spans="1:48" ht="12.75">
      <c r="A75">
        <f>ROW(Source!A36)</f>
        <v>36</v>
      </c>
      <c r="B75">
        <v>4647283</v>
      </c>
      <c r="C75">
        <v>4647270</v>
      </c>
      <c r="D75">
        <v>4071475</v>
      </c>
      <c r="E75">
        <v>1</v>
      </c>
      <c r="F75">
        <v>1</v>
      </c>
      <c r="G75">
        <v>1</v>
      </c>
      <c r="H75">
        <v>3</v>
      </c>
      <c r="I75" t="s">
        <v>350</v>
      </c>
      <c r="J75" t="s">
        <v>351</v>
      </c>
      <c r="K75" t="s">
        <v>352</v>
      </c>
      <c r="L75">
        <v>1346</v>
      </c>
      <c r="N75">
        <v>1009</v>
      </c>
      <c r="O75" t="s">
        <v>86</v>
      </c>
      <c r="P75" t="s">
        <v>86</v>
      </c>
      <c r="Q75">
        <v>1</v>
      </c>
      <c r="Y75">
        <v>0.05</v>
      </c>
      <c r="AA75">
        <v>37.18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0.05</v>
      </c>
      <c r="AV75">
        <v>0</v>
      </c>
    </row>
    <row r="76" spans="1:48" ht="12.75">
      <c r="A76">
        <f>ROW(Source!A36)</f>
        <v>36</v>
      </c>
      <c r="B76">
        <v>4647284</v>
      </c>
      <c r="C76">
        <v>4647270</v>
      </c>
      <c r="D76">
        <v>4095220</v>
      </c>
      <c r="E76">
        <v>1</v>
      </c>
      <c r="F76">
        <v>1</v>
      </c>
      <c r="G76">
        <v>1</v>
      </c>
      <c r="H76">
        <v>3</v>
      </c>
      <c r="I76" t="s">
        <v>379</v>
      </c>
      <c r="J76" t="s">
        <v>380</v>
      </c>
      <c r="K76" t="s">
        <v>381</v>
      </c>
      <c r="L76">
        <v>1301</v>
      </c>
      <c r="N76">
        <v>1003</v>
      </c>
      <c r="O76" t="s">
        <v>382</v>
      </c>
      <c r="P76" t="s">
        <v>382</v>
      </c>
      <c r="Q76">
        <v>1</v>
      </c>
      <c r="Y76">
        <v>100</v>
      </c>
      <c r="AA76">
        <v>71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100</v>
      </c>
      <c r="AV76">
        <v>0</v>
      </c>
    </row>
    <row r="77" spans="1:48" ht="12.75">
      <c r="A77">
        <f>ROW(Source!A36)</f>
        <v>36</v>
      </c>
      <c r="B77">
        <v>4647285</v>
      </c>
      <c r="C77">
        <v>4647270</v>
      </c>
      <c r="D77">
        <v>4096826</v>
      </c>
      <c r="E77">
        <v>1</v>
      </c>
      <c r="F77">
        <v>1</v>
      </c>
      <c r="G77">
        <v>1</v>
      </c>
      <c r="H77">
        <v>3</v>
      </c>
      <c r="I77" t="s">
        <v>79</v>
      </c>
      <c r="J77" t="s">
        <v>82</v>
      </c>
      <c r="K77" t="s">
        <v>80</v>
      </c>
      <c r="L77">
        <v>1354</v>
      </c>
      <c r="N77">
        <v>1010</v>
      </c>
      <c r="O77" t="s">
        <v>81</v>
      </c>
      <c r="P77" t="s">
        <v>81</v>
      </c>
      <c r="Q77">
        <v>1</v>
      </c>
      <c r="Y77">
        <v>23.4375</v>
      </c>
      <c r="AA77">
        <v>20.79</v>
      </c>
      <c r="AB77">
        <v>0</v>
      </c>
      <c r="AC77">
        <v>0</v>
      </c>
      <c r="AD77">
        <v>0</v>
      </c>
      <c r="AN77">
        <v>1</v>
      </c>
      <c r="AO77">
        <v>0</v>
      </c>
      <c r="AP77">
        <v>0</v>
      </c>
      <c r="AQ77">
        <v>0</v>
      </c>
      <c r="AR77">
        <v>0</v>
      </c>
      <c r="AT77">
        <v>23.4375</v>
      </c>
      <c r="AV77">
        <v>0</v>
      </c>
    </row>
    <row r="78" spans="1:48" ht="12.75">
      <c r="A78">
        <f>ROW(Source!A36)</f>
        <v>36</v>
      </c>
      <c r="B78">
        <v>4647286</v>
      </c>
      <c r="C78">
        <v>4647270</v>
      </c>
      <c r="D78">
        <v>4098820</v>
      </c>
      <c r="E78">
        <v>1</v>
      </c>
      <c r="F78">
        <v>1</v>
      </c>
      <c r="G78">
        <v>1</v>
      </c>
      <c r="H78">
        <v>3</v>
      </c>
      <c r="I78" t="s">
        <v>84</v>
      </c>
      <c r="J78" t="s">
        <v>87</v>
      </c>
      <c r="K78" t="s">
        <v>85</v>
      </c>
      <c r="L78">
        <v>1346</v>
      </c>
      <c r="N78">
        <v>1009</v>
      </c>
      <c r="O78" t="s">
        <v>86</v>
      </c>
      <c r="P78" t="s">
        <v>86</v>
      </c>
      <c r="Q78">
        <v>1</v>
      </c>
      <c r="Y78">
        <v>46.875</v>
      </c>
      <c r="AA78">
        <v>11.98</v>
      </c>
      <c r="AB78">
        <v>0</v>
      </c>
      <c r="AC78">
        <v>0</v>
      </c>
      <c r="AD78">
        <v>0</v>
      </c>
      <c r="AN78">
        <v>1</v>
      </c>
      <c r="AO78">
        <v>0</v>
      </c>
      <c r="AP78">
        <v>0</v>
      </c>
      <c r="AQ78">
        <v>0</v>
      </c>
      <c r="AR78">
        <v>0</v>
      </c>
      <c r="AT78">
        <v>46.875</v>
      </c>
      <c r="AV78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2007-02-15T02:37:44Z</cp:lastPrinted>
  <dcterms:created xsi:type="dcterms:W3CDTF">2007-02-15T02:33:05Z</dcterms:created>
  <dcterms:modified xsi:type="dcterms:W3CDTF">2007-03-10T03:16:07Z</dcterms:modified>
  <cp:category/>
  <cp:version/>
  <cp:contentType/>
  <cp:contentStatus/>
</cp:coreProperties>
</file>