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Лист1" sheetId="1" r:id="rId1"/>
    <sheet name="Source" sheetId="2" r:id="rId2"/>
    <sheet name="SmtRes" sheetId="3" r:id="rId3"/>
    <sheet name="ClcRes" sheetId="4" r:id="rId4"/>
  </sheets>
  <definedNames>
    <definedName name="_xlnm.Print_Titles" localSheetId="0">'Лист1'!$32:$33</definedName>
  </definedNames>
  <calcPr fullCalcOnLoad="1"/>
</workbook>
</file>

<file path=xl/sharedStrings.xml><?xml version="1.0" encoding="utf-8"?>
<sst xmlns="http://schemas.openxmlformats.org/spreadsheetml/2006/main" count="1024" uniqueCount="383">
  <si>
    <t>Smeta.ru  (095) 974-1589</t>
  </si>
  <si>
    <t>_PS_</t>
  </si>
  <si>
    <t>Smeta.ru</t>
  </si>
  <si>
    <t>Администрация Мелекесского района  Доп. раб. место  FStS-0023048</t>
  </si>
  <si>
    <t>Новый объект</t>
  </si>
  <si>
    <t>Ремонт кровли д/сада "василек" в р.п.Мкулоовка</t>
  </si>
  <si>
    <t/>
  </si>
  <si>
    <t>Сметные нормы списания</t>
  </si>
  <si>
    <t>Коды ценников</t>
  </si>
  <si>
    <t>ФЕР версия 2 с параметрами</t>
  </si>
  <si>
    <t>Версия 2 с параметрами. Расчёт для 2001 г МДС 81.33-2004 и МДС 81.25-99 с п.АП-5536/06</t>
  </si>
  <si>
    <t>Ульяновская область</t>
  </si>
  <si>
    <t>Поправки для НБ 2001 нов МДС  для вер.2 с параметрами</t>
  </si>
  <si>
    <t>Новая локальная смета</t>
  </si>
  <si>
    <t>{383EF9A1-9AE1-409E-8F59-A36A3B760B5A}</t>
  </si>
  <si>
    <t>58-17-4</t>
  </si>
  <si>
    <t>Разборка покрытий кровель из волнистых и полуволнистых асбестоцементных листов</t>
  </si>
  <si>
    <t>100 м2</t>
  </si>
  <si>
    <t>ТЕРр Ульяновской обл.,сб.58,поз.17-4</t>
  </si>
  <si>
    <t>100 м2 покрытий кровель</t>
  </si>
  <si>
    <t>Ремонтно-строительные работы</t>
  </si>
  <si>
    <t>Кровли</t>
  </si>
  <si>
    <t>Крыши, кровли</t>
  </si>
  <si>
    <t>58</t>
  </si>
  <si>
    <t>2</t>
  </si>
  <si>
    <t>58-18-2</t>
  </si>
  <si>
    <t>Смена обрешетки с прозорами из досок толщиной до 50 мм</t>
  </si>
  <si>
    <t>ТЕРр Ульяновской обл.,сб.58,поз.18-2</t>
  </si>
  <si>
    <t>100 м2 сменяемой обрешетки</t>
  </si>
  <si>
    <t>58-20-2</t>
  </si>
  <si>
    <t>Смена обделок из листовой стали поясков, сандриков, отливов, карнизов шириной до 0,7 м</t>
  </si>
  <si>
    <t>100 м</t>
  </si>
  <si>
    <t>ТЕРр Ульяновской обл.,сб.58,поз.20-2</t>
  </si>
  <si>
    <t>12-01-007-3</t>
  </si>
  <si>
    <t>Устройство кровель из волнистых асбестоцементных листов унифицированного профиля по готовым прогонам</t>
  </si>
  <si>
    <t>ТЕР Ульяновской обл.сб.12,гл.01,табл.007,поз.3</t>
  </si>
  <si>
    <t>100 м2 кровли</t>
  </si>
  <si>
    <t>Общестроительные работы</t>
  </si>
  <si>
    <t>12</t>
  </si>
  <si>
    <t>53-7-1</t>
  </si>
  <si>
    <t>Смена отдельных досок чистой наружной обшивки стен</t>
  </si>
  <si>
    <t>ТЕРр Ульяновской обл.,сб.53,поз.7-1</t>
  </si>
  <si>
    <t>100 м досок</t>
  </si>
  <si>
    <t>Стены</t>
  </si>
  <si>
    <t>53</t>
  </si>
  <si>
    <t>27-04-001-4</t>
  </si>
  <si>
    <t>Устройство подстилающих и выравнивающих слоев оснований: из щебня</t>
  </si>
  <si>
    <t>100 м3</t>
  </si>
  <si>
    <t>ТЕР Ульяновской обл.сб.27,гл.04,табл.001,поз.4</t>
  </si>
  <si>
    <t>)*1,25</t>
  </si>
  <si>
    <t>)*1,15</t>
  </si>
  <si>
    <t>100 м3 материала основания (в плотном теле)</t>
  </si>
  <si>
    <t>Автомобильные дороги</t>
  </si>
  <si>
    <t>21</t>
  </si>
  <si>
    <t>6,1</t>
  </si>
  <si>
    <t>408-0023</t>
  </si>
  <si>
    <t>Щебень из природного камня для строительных работ марка 400, фракция, мм:20-40</t>
  </si>
  <si>
    <t>м3</t>
  </si>
  <si>
    <t>ТССЦ Ульяновской обл,сб.408,поз.0023</t>
  </si>
  <si>
    <t>68-10-2</t>
  </si>
  <si>
    <t>Устройство выравнивающего слоя из асфальтобетонной смеси без применения укладчиков асфальтобетона</t>
  </si>
  <si>
    <t>100 т</t>
  </si>
  <si>
    <t>ТЕРр Ульяновской обл.,сб.68,поз.10-2</t>
  </si>
  <si>
    <t>100 т смеси</t>
  </si>
  <si>
    <t>Благоустройство</t>
  </si>
  <si>
    <t>68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</si>
  <si>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</si>
  <si>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</si>
  <si>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</si>
  <si>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</si>
  <si>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</si>
  <si>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</si>
  <si>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</si>
  <si>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</si>
  <si>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</si>
  <si>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</si>
  <si>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</si>
  <si>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</si>
  <si>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</si>
  <si>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</si>
  <si>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</si>
  <si>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</si>
  <si>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</si>
  <si>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</si>
  <si>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</si>
  <si>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</si>
  <si>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</si>
  <si>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</si>
  <si>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</si>
  <si>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 прямые затраты</t>
  </si>
  <si>
    <t>Итог2</t>
  </si>
  <si>
    <t>Итог3</t>
  </si>
  <si>
    <t>Итог4</t>
  </si>
  <si>
    <t>Итого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</si>
  <si>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</si>
  <si>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</si>
  <si>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</si>
  <si>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</si>
  <si>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</si>
  <si>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</si>
  <si>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</si>
  <si>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</si>
  <si>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</si>
  <si>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</si>
  <si>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</si>
  <si>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</si>
  <si>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</si>
  <si>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</si>
  <si>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</si>
  <si>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</si>
  <si>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</si>
  <si>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</si>
  <si>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</si>
  <si>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</si>
  <si>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</si>
  <si>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</si>
  <si>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</si>
  <si>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</si>
  <si>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</si>
  <si>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</si>
  <si>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</si>
  <si>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</si>
  <si>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</si>
  <si>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</si>
  <si>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</si>
  <si>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</si>
  <si>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</si>
  <si>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</si>
  <si>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</si>
  <si>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</si>
  <si>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</si>
  <si>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</si>
  <si>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</si>
  <si>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</si>
  <si>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</si>
  <si>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</si>
  <si>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</si>
  <si>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</si>
  <si>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</si>
  <si>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</si>
  <si>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</si>
  <si>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</si>
  <si>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</si>
  <si>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</si>
  <si>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</si>
  <si>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</si>
  <si>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</si>
  <si>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</si>
  <si>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</si>
  <si>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</si>
  <si>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</si>
  <si>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</si>
  <si>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</si>
  <si>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</si>
  <si>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</si>
  <si>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</si>
  <si>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</si>
  <si>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</si>
  <si>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</si>
  <si>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</si>
  <si>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</si>
  <si>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</si>
  <si>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</si>
  <si>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</si>
  <si>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</si>
  <si>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</si>
  <si>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</si>
  <si>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</si>
  <si>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</si>
  <si>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</si>
  <si>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</si>
  <si>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</si>
  <si>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</si>
  <si>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</si>
  <si>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</si>
  <si>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</si>
  <si>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</si>
  <si>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</si>
  <si>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</si>
  <si>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</si>
  <si>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</si>
  <si>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</si>
  <si>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</si>
  <si>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</si>
  <si>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</si>
  <si>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</si>
  <si>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</si>
  <si>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</si>
  <si>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</si>
  <si>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</si>
  <si>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</si>
  <si>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</si>
  <si>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</si>
  <si>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</si>
  <si>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</si>
  <si>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</si>
  <si>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</si>
  <si>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</si>
  <si>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</si>
  <si>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</si>
  <si>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</si>
  <si>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</si>
  <si>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</si>
  <si>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</si>
  <si>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</si>
  <si>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</si>
  <si>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</si>
  <si>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</si>
  <si>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</si>
  <si>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</si>
  <si>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</si>
  <si>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</si>
  <si>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</si>
  <si>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</si>
  <si>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</si>
  <si>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</si>
  <si>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</si>
  <si>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</si>
  <si>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</si>
  <si>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</si>
  <si>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</si>
  <si>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</si>
  <si>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aa</t>
  </si>
  <si>
    <t>aaq</t>
  </si>
  <si>
    <t>1-2.0-73</t>
  </si>
  <si>
    <t>Затраты труда рабочих-строителей (средний разряд 2.0)</t>
  </si>
  <si>
    <t>чел.ч</t>
  </si>
  <si>
    <t>ЧЕЛ.Ч</t>
  </si>
  <si>
    <t>030401</t>
  </si>
  <si>
    <t>483588</t>
  </si>
  <si>
    <t>Лебедки электрические, тяговым усилием до 5,79 (0,59) кH (т)</t>
  </si>
  <si>
    <t>маш.-ч</t>
  </si>
  <si>
    <t>999-9900</t>
  </si>
  <si>
    <t>ТССЦ Ульяновской обл.,сб.999,поз.9900</t>
  </si>
  <si>
    <t>Строительный мусор</t>
  </si>
  <si>
    <t>т</t>
  </si>
  <si>
    <t>1-2.2-73</t>
  </si>
  <si>
    <t>Затраты труда рабочих-строителей (средний разряд 2.2)</t>
  </si>
  <si>
    <t>Затраты труда машинистов</t>
  </si>
  <si>
    <t>чел.час</t>
  </si>
  <si>
    <t>400001</t>
  </si>
  <si>
    <t>451114</t>
  </si>
  <si>
    <t>Автомобили бортовые грузоподъемностью до 5 т</t>
  </si>
  <si>
    <t>101-1805</t>
  </si>
  <si>
    <t>ТССЦ Ульяновской обл,сб.101,поз.1805</t>
  </si>
  <si>
    <t>Гвозди строительные</t>
  </si>
  <si>
    <t>102-0080</t>
  </si>
  <si>
    <t>ТССЦ Ульяновской обл,сб.102,поз.0080</t>
  </si>
  <si>
    <t>Пиломатериалы хвойных пород.Доски необрезные длиной 4-6.5 м, все ширины, толщиной 44 мм и более   II сорта</t>
  </si>
  <si>
    <t>1-3.0-73</t>
  </si>
  <si>
    <t>Затраты труда рабочих-строителей (средний разряд 3.0)</t>
  </si>
  <si>
    <t>031121</t>
  </si>
  <si>
    <t>483583</t>
  </si>
  <si>
    <t>Подъемники мачтовые строительные 0.5 т</t>
  </si>
  <si>
    <t>101-0794</t>
  </si>
  <si>
    <t>ТССЦ Ульяновской обл,сб.101,поз.0794</t>
  </si>
  <si>
    <t>Проволока катанная оцинкованная  диаметром 2.6 мм</t>
  </si>
  <si>
    <t>101-9351</t>
  </si>
  <si>
    <t>ТССЦ Ульяновской обл,сб.101,поз.9351</t>
  </si>
  <si>
    <t>Сталь листовая оцинкованная толщиной листа 0,7 мм</t>
  </si>
  <si>
    <t>1-3.1-73</t>
  </si>
  <si>
    <t>Затраты труда рабочих-строителей (средний разряд 3.1)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</si>
  <si>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</si>
  <si>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</si>
  <si>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</si>
  <si>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маш.ч</t>
  </si>
  <si>
    <t>МАШ.Ч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</si>
  <si>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</si>
  <si>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</si>
  <si>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</si>
  <si>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101-0036</t>
  </si>
  <si>
    <t>ТССЦ Ульяновской обл,сб.101,поз.0036</t>
  </si>
  <si>
    <t>Листы асбестоцементные волнистые  унифицированного профиля 54/200 толщиной 7.5 мм</t>
  </si>
  <si>
    <t>м2</t>
  </si>
  <si>
    <t>101-0096</t>
  </si>
  <si>
    <t>ТССЦ Ульяновской обл,сб.101,поз.0096</t>
  </si>
  <si>
    <t>Болты оцинкованные  диаметром резьбы 8 мм</t>
  </si>
  <si>
    <t>101-0788</t>
  </si>
  <si>
    <t>ТССЦ Ульяновской обл,сб.101,поз.0788</t>
  </si>
  <si>
    <t>Поковки оцинкованные  массой 2.825 кг</t>
  </si>
  <si>
    <t>101-0856</t>
  </si>
  <si>
    <t>ТССЦ Ульяновской обл,сб.101,поз.0856</t>
  </si>
  <si>
    <t>Рубероид кровельный с крупнозернистой посыпкой  с пылевидной посыпкой РКП-350б</t>
  </si>
  <si>
    <t>101-1875</t>
  </si>
  <si>
    <t>ТССЦ Ульяновской обл,сб.101,поз.1875</t>
  </si>
  <si>
    <t>Сталь оцинкованная листовая  толщина листа 0.7 мм</t>
  </si>
  <si>
    <t>101-1976</t>
  </si>
  <si>
    <t>ТССЦ Ульяновской обл,сб.101,поз.1976</t>
  </si>
  <si>
    <t>Примеси волокнистых веществ</t>
  </si>
  <si>
    <t>кг</t>
  </si>
  <si>
    <t>101-9923</t>
  </si>
  <si>
    <t>ТССЦ Ульяновской обл,сб.101,поз.9923</t>
  </si>
  <si>
    <t>Шаблоны коньковые</t>
  </si>
  <si>
    <t>ШТ</t>
  </si>
  <si>
    <t>402-9071</t>
  </si>
  <si>
    <t>ТССЦ Ульяновской обл,сб.402,поз.9071</t>
  </si>
  <si>
    <t>Раствор готовый кладочный тяжелый цементный</t>
  </si>
  <si>
    <t>1-3.2-73</t>
  </si>
  <si>
    <t>Затраты труда рабочих-строителей (средний разряд 3.2)</t>
  </si>
  <si>
    <t>102-0112</t>
  </si>
  <si>
    <t>ТССЦ Ульяновской обл,сб.102,поз.0112</t>
  </si>
  <si>
    <t>Пиломатериалы хвойных пород.Доски обрезные длиной 2-3.75 м, шириной 75-150 мм, толщиной 25 мм   II сорта</t>
  </si>
  <si>
    <t>1-2.4-73</t>
  </si>
  <si>
    <t>Затраты труда рабочих-строителей (средний разряд 2.4)</t>
  </si>
  <si>
    <t>030101</t>
  </si>
  <si>
    <t>452712</t>
  </si>
  <si>
    <t>Автопогрузчики 5 т</t>
  </si>
  <si>
    <t>070149</t>
  </si>
  <si>
    <t>481214</t>
  </si>
  <si>
    <t>Бульдозеры при работе на других видах строительства (кроме водохозяйственного) 79 (108) кВт (л.с.)</t>
  </si>
  <si>
    <t>120202</t>
  </si>
  <si>
    <t>481412</t>
  </si>
  <si>
    <t>Автогрейдеры среднего типа 99 (135) кВт (л.с.)</t>
  </si>
  <si>
    <t>120911</t>
  </si>
  <si>
    <t>482411</t>
  </si>
  <si>
    <t>Катки дорожные самоходные на пневмоколесном ходу 30 т</t>
  </si>
  <si>
    <t>121601</t>
  </si>
  <si>
    <t>482218</t>
  </si>
  <si>
    <t>Машины поливомоечные 6000 л</t>
  </si>
  <si>
    <t>411-0001</t>
  </si>
  <si>
    <t>ТССЦ Ульяновской обл,сб.411,поз.0001</t>
  </si>
  <si>
    <t>Вода</t>
  </si>
  <si>
    <t>1-4.0-73</t>
  </si>
  <si>
    <t>Затраты труда рабочих-строителей (средний разряд 4.0)</t>
  </si>
  <si>
    <t>120906</t>
  </si>
  <si>
    <t>Катки дорожные самоходные гладкие 8 т</t>
  </si>
  <si>
    <t>120907</t>
  </si>
  <si>
    <t>Катки дорожные самоходные гладкие 13 т</t>
  </si>
  <si>
    <t>101-0322</t>
  </si>
  <si>
    <t>ТССЦ Ульяновской обл,сб.101,поз.0322</t>
  </si>
  <si>
    <t>Керосин для технических целей марок КТ-1, КТ-2</t>
  </si>
  <si>
    <t>410-9010</t>
  </si>
  <si>
    <t>ТССЦ Ульяновской обл,сб.410,поз.9010</t>
  </si>
  <si>
    <t>Смесь асфальтобетонная</t>
  </si>
  <si>
    <t>Поправка:  00_МДС_35_4.7  Наименование: 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</si>
  <si>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Поправка:  00_МДС_35_4.7
Наименование:
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</si>
  <si>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Форма 4</t>
  </si>
  <si>
    <t>Составлена в текущих ценах</t>
  </si>
  <si>
    <t>Смету в сумме</t>
  </si>
  <si>
    <t>№ п/п</t>
  </si>
  <si>
    <t>Шифр норм</t>
  </si>
  <si>
    <t>Наименование видов работ и затрат</t>
  </si>
  <si>
    <t>Единица измерения</t>
  </si>
  <si>
    <t>Количество</t>
  </si>
  <si>
    <t>На единицу</t>
  </si>
  <si>
    <t>Всего</t>
  </si>
  <si>
    <t>Сметная стоимость в текущих (прогнозных) ценах, руб.</t>
  </si>
  <si>
    <t>Общая</t>
  </si>
  <si>
    <t>В том числе</t>
  </si>
  <si>
    <t>Основная зарплата</t>
  </si>
  <si>
    <t>Зарплата машинистов</t>
  </si>
  <si>
    <t>Материалы</t>
  </si>
  <si>
    <t>Трудозатраты рабочих, чел.-ч</t>
  </si>
  <si>
    <t>Трудозатраты машинистов, чел.-ч</t>
  </si>
  <si>
    <t>Машины и механизмы:</t>
  </si>
  <si>
    <t>Материалы:</t>
  </si>
  <si>
    <t>Итого по локальной смете</t>
  </si>
  <si>
    <t>Составил</t>
  </si>
  <si>
    <t>Проверил</t>
  </si>
  <si>
    <t>Непредвиденные расходы</t>
  </si>
  <si>
    <t>НДС 18%</t>
  </si>
  <si>
    <t>Всего с НДС</t>
  </si>
  <si>
    <t>Сметная стоимость</t>
  </si>
  <si>
    <t>СОГЛАСОВЫВАЮ</t>
  </si>
  <si>
    <t>УТВЕРЖДАЮ</t>
  </si>
  <si>
    <t>Начальник УТЭР, ЖКХ и С</t>
  </si>
  <si>
    <t>И.О. Главы администрации</t>
  </si>
  <si>
    <t>Русаков В.И._____________________</t>
  </si>
  <si>
    <t>Мелекесского района</t>
  </si>
  <si>
    <t xml:space="preserve">Директор МДОУ детского сада общеразвивающего вида </t>
  </si>
  <si>
    <t>Костик Л.А.________________</t>
  </si>
  <si>
    <t>_____________</t>
  </si>
  <si>
    <t>_____ __________________ 2007 г.</t>
  </si>
  <si>
    <t>С М Е Т А № 02-07</t>
  </si>
  <si>
    <t xml:space="preserve">Ремонт кровли и устройство отмостки  МДОУ  детского сада общеразвивающего вида </t>
  </si>
  <si>
    <t xml:space="preserve">"Василек" в р.п.Мулловка Мелекесского района Ульяновской области </t>
  </si>
  <si>
    <t>С М Е Т А № 03-07</t>
  </si>
  <si>
    <t>"Василек" в р.п.Мулловка</t>
  </si>
  <si>
    <t>_____ _____________ 2007 г.</t>
  </si>
  <si>
    <t>300542,3 т.руб</t>
  </si>
  <si>
    <t xml:space="preserve">Переход в цены 2007 г. </t>
  </si>
  <si>
    <t>инд.3,54</t>
  </si>
  <si>
    <t>300542,3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</si>
</sst>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i/>
      <sz val="9"/>
      <color indexed="36"/>
      <name val="Arial Cyr"/>
      <family val="0"/>
    </font>
    <font>
      <i/>
      <sz val="9"/>
      <color indexed="60"/>
      <name val="Arial Cyr"/>
      <family val="0"/>
    </font>
    <font>
      <i/>
      <sz val="9"/>
      <color indexed="17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0" fontId="16" fillId="0" borderId="3" xfId="0" applyFont="1" applyBorder="1" applyAlignment="1">
      <alignment vertical="top"/>
    </xf>
    <xf numFmtId="0" fontId="16" fillId="0" borderId="3" xfId="0" applyFont="1" applyBorder="1" applyAlignment="1">
      <alignment vertical="top" wrapText="1"/>
    </xf>
    <xf numFmtId="0" fontId="12" fillId="0" borderId="0" xfId="0" applyFont="1" applyAlignment="1">
      <alignment horizontal="right" vertical="top"/>
    </xf>
    <xf numFmtId="0" fontId="12" fillId="0" borderId="5" xfId="0" applyFont="1" applyBorder="1" applyAlignment="1">
      <alignment vertical="top"/>
    </xf>
    <xf numFmtId="0" fontId="8" fillId="0" borderId="6" xfId="0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72" fontId="7" fillId="0" borderId="0" xfId="0" applyNumberFormat="1" applyFont="1" applyAlignment="1">
      <alignment vertical="top"/>
    </xf>
    <xf numFmtId="172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72" fontId="8" fillId="0" borderId="0" xfId="0" applyNumberFormat="1" applyFont="1" applyBorder="1" applyAlignment="1">
      <alignment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showGridLines="0" tabSelected="1" workbookViewId="0" topLeftCell="A1">
      <selection activeCell="M8" sqref="M8"/>
    </sheetView>
  </sheetViews>
  <sheetFormatPr defaultColWidth="9.140625" defaultRowHeight="12.75"/>
  <cols>
    <col min="1" max="1" width="4.57421875" style="5" customWidth="1"/>
    <col min="2" max="2" width="13.57421875" style="5" customWidth="1"/>
    <col min="3" max="3" width="25.28125" style="5" customWidth="1"/>
    <col min="4" max="4" width="10.8515625" style="5" customWidth="1"/>
    <col min="5" max="15" width="8.7109375" style="5" customWidth="1"/>
    <col min="16" max="16384" width="9.140625" style="5" customWidth="1"/>
  </cols>
  <sheetData>
    <row r="1" ht="12.75">
      <c r="N1" s="7" t="s">
        <v>336</v>
      </c>
    </row>
    <row r="2" spans="1:14" ht="15.75">
      <c r="A2" s="46" t="s">
        <v>363</v>
      </c>
      <c r="B2" s="46"/>
      <c r="C2" s="46"/>
      <c r="D2" s="46"/>
      <c r="E2" s="46"/>
      <c r="F2" s="46"/>
      <c r="G2" s="46"/>
      <c r="H2" s="46"/>
      <c r="I2" s="46"/>
      <c r="J2" s="46" t="s">
        <v>364</v>
      </c>
      <c r="K2" s="46"/>
      <c r="L2" s="46"/>
      <c r="M2" s="46"/>
      <c r="N2" s="45"/>
    </row>
    <row r="3" spans="1:14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</row>
    <row r="4" spans="1:14" ht="15.75">
      <c r="A4" s="46" t="s">
        <v>365</v>
      </c>
      <c r="B4" s="46"/>
      <c r="C4" s="46"/>
      <c r="D4" s="46"/>
      <c r="E4" s="46"/>
      <c r="F4" s="46"/>
      <c r="G4" s="46"/>
      <c r="H4" s="46"/>
      <c r="I4" s="46"/>
      <c r="J4" s="46" t="s">
        <v>366</v>
      </c>
      <c r="K4" s="46"/>
      <c r="L4" s="46"/>
      <c r="M4" s="46"/>
      <c r="N4" s="45"/>
    </row>
    <row r="5" spans="1:14" ht="15.75">
      <c r="A5" s="46" t="s">
        <v>367</v>
      </c>
      <c r="B5" s="46"/>
      <c r="C5" s="46"/>
      <c r="D5" s="46"/>
      <c r="E5" s="46"/>
      <c r="F5" s="46"/>
      <c r="G5" s="46"/>
      <c r="H5" s="46"/>
      <c r="I5" s="46"/>
      <c r="J5" s="46" t="s">
        <v>368</v>
      </c>
      <c r="K5" s="46"/>
      <c r="L5" s="46"/>
      <c r="M5" s="46"/>
      <c r="N5" s="45"/>
    </row>
    <row r="6" spans="1:14" ht="15.75">
      <c r="A6" s="46" t="s">
        <v>369</v>
      </c>
      <c r="B6" s="46"/>
      <c r="C6" s="46"/>
      <c r="D6" s="46"/>
      <c r="E6" s="46"/>
      <c r="F6" s="46"/>
      <c r="G6" s="46"/>
      <c r="H6" s="46"/>
      <c r="I6" s="46"/>
      <c r="J6" s="46" t="s">
        <v>370</v>
      </c>
      <c r="K6" s="46"/>
      <c r="L6" s="46"/>
      <c r="M6" s="46"/>
      <c r="N6" s="45"/>
    </row>
    <row r="7" spans="1:14" ht="15.75">
      <c r="A7" s="46" t="s">
        <v>377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5"/>
    </row>
    <row r="8" spans="1:14" ht="15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5"/>
    </row>
    <row r="9" spans="1:14" ht="15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5"/>
    </row>
    <row r="10" spans="1:14" ht="15.75">
      <c r="A10" s="46" t="s">
        <v>338</v>
      </c>
      <c r="B10" s="46"/>
      <c r="C10" s="46" t="s">
        <v>382</v>
      </c>
      <c r="D10" s="46"/>
      <c r="E10" s="46"/>
      <c r="F10" s="46"/>
      <c r="G10" s="46"/>
      <c r="H10" s="46"/>
      <c r="I10" s="46"/>
      <c r="J10" s="46" t="s">
        <v>338</v>
      </c>
      <c r="K10" s="46"/>
      <c r="L10" s="46" t="s">
        <v>382</v>
      </c>
      <c r="M10" s="46"/>
      <c r="N10" s="46"/>
    </row>
    <row r="11" spans="1:14" ht="15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5.75">
      <c r="A12" s="46" t="s">
        <v>371</v>
      </c>
      <c r="B12" s="46"/>
      <c r="C12" s="46"/>
      <c r="D12" s="46"/>
      <c r="E12" s="46"/>
      <c r="F12" s="46"/>
      <c r="G12" s="46"/>
      <c r="H12" s="46"/>
      <c r="I12" s="46"/>
      <c r="J12" s="46" t="s">
        <v>371</v>
      </c>
      <c r="K12" s="46"/>
      <c r="L12" s="46"/>
      <c r="M12" s="46"/>
      <c r="N12" s="46"/>
    </row>
    <row r="13" spans="1:14" ht="15" customHeight="1">
      <c r="A13" s="46" t="s">
        <v>372</v>
      </c>
      <c r="B13" s="46"/>
      <c r="C13" s="46"/>
      <c r="D13" s="46"/>
      <c r="E13" s="46"/>
      <c r="F13" s="46"/>
      <c r="G13" s="46"/>
      <c r="H13" s="46"/>
      <c r="I13" s="46"/>
      <c r="J13" s="53" t="s">
        <v>378</v>
      </c>
      <c r="K13" s="53"/>
      <c r="L13" s="53"/>
      <c r="M13" s="53"/>
      <c r="N13" s="47"/>
    </row>
    <row r="14" spans="1:14" ht="15" customHeight="1">
      <c r="A14" s="46"/>
      <c r="B14" s="46"/>
      <c r="C14" s="46"/>
      <c r="D14" s="46"/>
      <c r="E14" s="46"/>
      <c r="F14" s="46"/>
      <c r="G14" s="46"/>
      <c r="H14" s="46"/>
      <c r="I14" s="46"/>
      <c r="J14" s="47"/>
      <c r="K14" s="47"/>
      <c r="L14" s="47"/>
      <c r="M14" s="47"/>
      <c r="N14" s="47"/>
    </row>
    <row r="15" spans="1:14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2.75" customHeight="1" hidden="1">
      <c r="A16" s="46" t="s">
        <v>373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7:14" ht="15.75">
      <c r="G17" s="46"/>
      <c r="H17" s="46"/>
      <c r="I17" s="46"/>
      <c r="J17" s="46"/>
      <c r="K17" s="46"/>
      <c r="L17" s="46"/>
      <c r="M17" s="46"/>
      <c r="N17" s="46"/>
    </row>
    <row r="18" spans="1:14" ht="15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5.75">
      <c r="A19" s="50" t="s">
        <v>376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8" customHeight="1">
      <c r="A20" s="50" t="s">
        <v>374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48"/>
      <c r="N20" s="48"/>
    </row>
    <row r="21" spans="1:14" ht="15.75">
      <c r="A21" s="46"/>
      <c r="B21" s="50" t="s">
        <v>375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6"/>
      <c r="N21" s="46"/>
    </row>
    <row r="22" spans="1:14" ht="15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5" s="8" customFormat="1" ht="12"/>
    <row r="26" s="8" customFormat="1" ht="12">
      <c r="K26" s="9"/>
    </row>
    <row r="27" s="8" customFormat="1" ht="12">
      <c r="K27" s="9"/>
    </row>
    <row r="28" spans="1:14" s="8" customFormat="1" ht="15">
      <c r="A28" s="10" t="s">
        <v>337</v>
      </c>
      <c r="B28" s="10"/>
      <c r="C28" s="10"/>
      <c r="D28" s="10"/>
      <c r="E28" s="10"/>
      <c r="F28" s="10"/>
      <c r="G28" s="10"/>
      <c r="H28" s="10"/>
      <c r="I28" s="10"/>
      <c r="J28" s="11" t="s">
        <v>362</v>
      </c>
      <c r="K28" s="33"/>
      <c r="L28" s="11"/>
      <c r="M28" s="11" t="s">
        <v>379</v>
      </c>
      <c r="N28" s="11"/>
    </row>
    <row r="29" spans="1:14" ht="12.75">
      <c r="A29" s="49" t="s">
        <v>339</v>
      </c>
      <c r="B29" s="49" t="s">
        <v>340</v>
      </c>
      <c r="C29" s="49" t="s">
        <v>341</v>
      </c>
      <c r="D29" s="49" t="s">
        <v>342</v>
      </c>
      <c r="E29" s="49" t="s">
        <v>343</v>
      </c>
      <c r="F29" s="49"/>
      <c r="G29" s="49" t="s">
        <v>346</v>
      </c>
      <c r="H29" s="49"/>
      <c r="I29" s="49"/>
      <c r="J29" s="49"/>
      <c r="K29" s="49"/>
      <c r="L29" s="49"/>
      <c r="M29" s="49" t="s">
        <v>352</v>
      </c>
      <c r="N29" s="49" t="s">
        <v>353</v>
      </c>
    </row>
    <row r="30" spans="1:14" ht="12.75">
      <c r="A30" s="49"/>
      <c r="B30" s="49"/>
      <c r="C30" s="49"/>
      <c r="D30" s="49"/>
      <c r="E30" s="49" t="s">
        <v>344</v>
      </c>
      <c r="F30" s="49" t="s">
        <v>345</v>
      </c>
      <c r="G30" s="49" t="s">
        <v>344</v>
      </c>
      <c r="H30" s="49" t="s">
        <v>347</v>
      </c>
      <c r="I30" s="49" t="s">
        <v>348</v>
      </c>
      <c r="J30" s="49"/>
      <c r="K30" s="49"/>
      <c r="L30" s="49"/>
      <c r="M30" s="49"/>
      <c r="N30" s="49"/>
    </row>
    <row r="31" spans="1:14" ht="36">
      <c r="A31" s="49"/>
      <c r="B31" s="49"/>
      <c r="C31" s="49"/>
      <c r="D31" s="49"/>
      <c r="E31" s="49"/>
      <c r="F31" s="49"/>
      <c r="G31" s="49"/>
      <c r="H31" s="49"/>
      <c r="I31" s="13" t="s">
        <v>349</v>
      </c>
      <c r="J31" s="13" t="s">
        <v>71</v>
      </c>
      <c r="K31" s="13" t="s">
        <v>350</v>
      </c>
      <c r="L31" s="13" t="s">
        <v>351</v>
      </c>
      <c r="M31" s="49"/>
      <c r="N31" s="49"/>
    </row>
    <row r="32" spans="1:14" ht="12.7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2">
        <v>9</v>
      </c>
      <c r="J32" s="12">
        <v>10</v>
      </c>
      <c r="K32" s="12">
        <v>11</v>
      </c>
      <c r="L32" s="12">
        <v>12</v>
      </c>
      <c r="M32" s="12">
        <v>13</v>
      </c>
      <c r="N32" s="12">
        <v>14</v>
      </c>
    </row>
    <row r="33" ht="12.75" hidden="1"/>
    <row r="34" s="14" customFormat="1" ht="18">
      <c r="C34" s="15"/>
    </row>
    <row r="35" ht="6" customHeight="1"/>
    <row r="36" spans="1:14" ht="51">
      <c r="A36" s="21">
        <f>Source!E24</f>
        <v>1</v>
      </c>
      <c r="B36" s="22" t="str">
        <f>Source!BJ24</f>
        <v>ТЕРр Ульяновской обл.,сб.58,поз.17-4</v>
      </c>
      <c r="C36" s="22" t="str">
        <f>Source!G24</f>
        <v>Разборка покрытий кровель из волнистых и полуволнистых асбестоцементных листов</v>
      </c>
      <c r="D36" s="22" t="str">
        <f>Source!H24</f>
        <v>100 м2</v>
      </c>
      <c r="E36" s="23"/>
      <c r="F36" s="23">
        <f>Source!I24</f>
        <v>8.7</v>
      </c>
      <c r="G36" s="24">
        <f>IF(Source!AB24=0,"",ROUND(Source!AB24,2))</f>
        <v>191.75</v>
      </c>
      <c r="H36" s="24">
        <f>IF(Source!O24=0,"",ROUND(Source!O24,2))</f>
        <v>1668.23</v>
      </c>
      <c r="I36" s="24">
        <f>IF(Source!S24=0,"",ROUND(Source!S24,2))</f>
        <v>1653</v>
      </c>
      <c r="J36" s="24">
        <f>IF(Source!Q24=0,"",ROUND(Source!Q24,2))</f>
        <v>15.23</v>
      </c>
      <c r="K36" s="24">
        <f>IF(Source!R24=0,"",ROUND(Source!R24,2))</f>
      </c>
      <c r="L36" s="24">
        <f>IF(Source!P24=0,"",ROUND(Source!P24,2))</f>
      </c>
      <c r="M36" s="24">
        <f>IF(Source!U24=0,"",ROUND(Source!U24,2))</f>
        <v>212.19</v>
      </c>
      <c r="N36" s="24">
        <f>IF(Source!V24=0,"",ROUND(Source!V24,2))</f>
      </c>
    </row>
    <row r="37" spans="1:14" s="16" customFormat="1" ht="36">
      <c r="A37" s="25"/>
      <c r="B37" s="26" t="str">
        <f>SmtRes!I1</f>
        <v>1-2.0-73</v>
      </c>
      <c r="C37" s="26" t="str">
        <f>SmtRes!K1</f>
        <v>Затраты труда рабочих-строителей (средний разряд 2.0)</v>
      </c>
      <c r="D37" s="26" t="str">
        <f>SmtRes!O1</f>
        <v>чел.ч</v>
      </c>
      <c r="E37" s="25">
        <f>SmtRes!Y1</f>
        <v>24.39</v>
      </c>
      <c r="F37" s="25">
        <f>SmtRes!Y1*Source!I24</f>
        <v>212.19299999999998</v>
      </c>
      <c r="G37" s="25">
        <f>IF(SmtRes!AA1+SmtRes!AB1+SmtRes!AD1=0,"",ROUND((SmtRes!AA1+SmtRes!AB1+SmtRes!AD1),2))</f>
        <v>7.79</v>
      </c>
      <c r="H37" s="25">
        <f>IF(SmtRes!AA1+SmtRes!AB1+SmtRes!AD1=0,"",ROUND((SmtRes!AA1+SmtRes!AB1+SmtRes!AD1)*F37,2))</f>
        <v>1652.98</v>
      </c>
      <c r="I37" s="25">
        <f>IF(SmtRes!AD1=0,"",ROUND(SmtRes!AD1*F37,2))</f>
        <v>1652.98</v>
      </c>
      <c r="J37" s="25">
        <f>IF(SmtRes!AB1=0,"",ROUND(SmtRes!AB1*F37,2))</f>
      </c>
      <c r="K37" s="25">
        <f>IF(SmtRes!AC1=0,"",ROUND(SmtRes!AC1*F37,2))</f>
      </c>
      <c r="L37" s="25">
        <f>IF(SmtRes!AA1=0,"",ROUND(SmtRes!AA1*F37,2))</f>
      </c>
      <c r="M37" s="25"/>
      <c r="N37" s="25"/>
    </row>
    <row r="38" spans="1:14" ht="12.75">
      <c r="A38" s="52" t="s">
        <v>354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17" customFormat="1" ht="36">
      <c r="A39" s="27"/>
      <c r="B39" s="28" t="str">
        <f>SmtRes!I2</f>
        <v>030401</v>
      </c>
      <c r="C39" s="28" t="str">
        <f>SmtRes!K2</f>
        <v>Лебедки электрические, тяговым усилием до 5,79 (0,59) кH (т)</v>
      </c>
      <c r="D39" s="28" t="str">
        <f>SmtRes!O2</f>
        <v>маш.-ч</v>
      </c>
      <c r="E39" s="27">
        <f>SmtRes!Y2</f>
        <v>0.63</v>
      </c>
      <c r="F39" s="27">
        <f>SmtRes!Y2*Source!I24</f>
        <v>5.481</v>
      </c>
      <c r="G39" s="27">
        <f>IF(SmtRes!AA2+SmtRes!AB2+SmtRes!AD2=0,"",ROUND((SmtRes!AA2+SmtRes!AB2+SmtRes!AD2),2))</f>
        <v>2.77</v>
      </c>
      <c r="H39" s="27">
        <f>IF(SmtRes!AA2+SmtRes!AB2+SmtRes!AD2=0,"",ROUND((SmtRes!AA2+SmtRes!AB2+SmtRes!AD2)*F39,2))</f>
        <v>15.18</v>
      </c>
      <c r="I39" s="27">
        <f>IF(SmtRes!AD2=0,"",ROUND(SmtRes!AD2*F39,2))</f>
      </c>
      <c r="J39" s="27">
        <f>IF(SmtRes!AB2=0,"",ROUND(SmtRes!AB2*F39,2))</f>
        <v>15.18</v>
      </c>
      <c r="K39" s="27">
        <f>IF(SmtRes!AC2=0,"",ROUND(SmtRes!AC2*F39,2))</f>
      </c>
      <c r="L39" s="27">
        <f>IF(SmtRes!AA2=0,"",ROUND(SmtRes!AA2*F39,2))</f>
      </c>
      <c r="M39" s="27"/>
      <c r="N39" s="27"/>
    </row>
    <row r="40" spans="1:14" ht="12.75">
      <c r="A40" s="52" t="s">
        <v>355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s="18" customFormat="1" ht="12">
      <c r="A41" s="29"/>
      <c r="B41" s="30" t="str">
        <f>SmtRes!I3</f>
        <v>999-9900</v>
      </c>
      <c r="C41" s="30" t="str">
        <f>SmtRes!K3</f>
        <v>Строительный мусор</v>
      </c>
      <c r="D41" s="30" t="str">
        <f>SmtRes!O3</f>
        <v>т</v>
      </c>
      <c r="E41" s="29">
        <f>SmtRes!Y3</f>
        <v>1.45</v>
      </c>
      <c r="F41" s="29">
        <f>SmtRes!Y3*Source!I24</f>
        <v>12.614999999999998</v>
      </c>
      <c r="G41" s="29">
        <f>IF(SmtRes!AA3+SmtRes!AB3+SmtRes!AD3=0,"",ROUND((SmtRes!AA3+SmtRes!AB3+SmtRes!AD3),2))</f>
      </c>
      <c r="H41" s="29">
        <f>IF(SmtRes!AA3+SmtRes!AB3+SmtRes!AD3=0,"",ROUND((SmtRes!AA3+SmtRes!AB3+SmtRes!AD3)*F41,2))</f>
      </c>
      <c r="I41" s="29">
        <f>IF(SmtRes!AD3=0,"",ROUND(SmtRes!AD3*F41,2))</f>
      </c>
      <c r="J41" s="29">
        <f>IF(SmtRes!AB3=0,"",ROUND(SmtRes!AB3*F41,2))</f>
      </c>
      <c r="K41" s="29">
        <f>IF(SmtRes!AC3=0,"",ROUND(SmtRes!AC3*F41,2))</f>
      </c>
      <c r="L41" s="29">
        <f>IF(SmtRes!AA3=0,"",ROUND(SmtRes!AA3*F41,2))</f>
      </c>
      <c r="M41" s="29"/>
      <c r="N41" s="29"/>
    </row>
    <row r="42" spans="1:14" ht="51">
      <c r="A42" s="21">
        <f>Source!E25</f>
        <v>2</v>
      </c>
      <c r="B42" s="22" t="str">
        <f>Source!BJ25</f>
        <v>ТЕРр Ульяновской обл.,сб.58,поз.18-2</v>
      </c>
      <c r="C42" s="22" t="str">
        <f>Source!G25</f>
        <v>Смена обрешетки с прозорами из досок толщиной до 50 мм</v>
      </c>
      <c r="D42" s="22" t="str">
        <f>Source!H25</f>
        <v>100 м2</v>
      </c>
      <c r="E42" s="23"/>
      <c r="F42" s="23">
        <f>Source!I25</f>
        <v>0.6</v>
      </c>
      <c r="G42" s="24">
        <f>IF(Source!AB25=0,"",ROUND(Source!AB25,2))</f>
        <v>1895.4</v>
      </c>
      <c r="H42" s="24">
        <f>IF(Source!O25=0,"",ROUND(Source!O25,2))</f>
        <v>1137.24</v>
      </c>
      <c r="I42" s="24">
        <f>IF(Source!S25=0,"",ROUND(Source!S25,2))</f>
        <v>309.84</v>
      </c>
      <c r="J42" s="24">
        <f>IF(Source!Q25=0,"",ROUND(Source!Q25,2))</f>
        <v>10.86</v>
      </c>
      <c r="K42" s="24">
        <f>IF(Source!R25=0,"",ROUND(Source!R25,2))</f>
        <v>1.99</v>
      </c>
      <c r="L42" s="24">
        <f>IF(Source!P25=0,"",ROUND(Source!P25,2))</f>
        <v>816.54</v>
      </c>
      <c r="M42" s="24">
        <f>IF(Source!U25=0,"",ROUND(Source!U25,2))</f>
        <v>39.07</v>
      </c>
      <c r="N42" s="24">
        <f>IF(Source!V25=0,"",ROUND(Source!V25,2))</f>
        <v>0.17</v>
      </c>
    </row>
    <row r="43" spans="1:14" s="16" customFormat="1" ht="36">
      <c r="A43" s="25"/>
      <c r="B43" s="26" t="str">
        <f>SmtRes!I4</f>
        <v>1-2.2-73</v>
      </c>
      <c r="C43" s="26" t="str">
        <f>SmtRes!K4</f>
        <v>Затраты труда рабочих-строителей (средний разряд 2.2)</v>
      </c>
      <c r="D43" s="26" t="str">
        <f>SmtRes!O4</f>
        <v>чел.ч</v>
      </c>
      <c r="E43" s="25">
        <f>SmtRes!Y4</f>
        <v>65.12</v>
      </c>
      <c r="F43" s="25">
        <f>SmtRes!Y4*Source!I25</f>
        <v>39.072</v>
      </c>
      <c r="G43" s="25">
        <f>IF(SmtRes!AA4+SmtRes!AB4+SmtRes!AD4=0,"",ROUND((SmtRes!AA4+SmtRes!AB4+SmtRes!AD4),2))</f>
        <v>7.93</v>
      </c>
      <c r="H43" s="25">
        <f>IF(SmtRes!AA4+SmtRes!AB4+SmtRes!AD4=0,"",ROUND((SmtRes!AA4+SmtRes!AB4+SmtRes!AD4)*F43,2))</f>
        <v>309.84</v>
      </c>
      <c r="I43" s="25">
        <f>IF(SmtRes!AD4=0,"",ROUND(SmtRes!AD4*F43,2))</f>
        <v>309.84</v>
      </c>
      <c r="J43" s="25">
        <f>IF(SmtRes!AB4=0,"",ROUND(SmtRes!AB4*F43,2))</f>
      </c>
      <c r="K43" s="25">
        <f>IF(SmtRes!AC4=0,"",ROUND(SmtRes!AC4*F43,2))</f>
      </c>
      <c r="L43" s="25">
        <f>IF(SmtRes!AA4=0,"",ROUND(SmtRes!AA4*F43,2))</f>
      </c>
      <c r="M43" s="25"/>
      <c r="N43" s="25"/>
    </row>
    <row r="44" spans="1:14" s="16" customFormat="1" ht="24">
      <c r="A44" s="25"/>
      <c r="B44" s="26" t="str">
        <f>SmtRes!I5</f>
        <v>2</v>
      </c>
      <c r="C44" s="26" t="str">
        <f>SmtRes!K5</f>
        <v>Затраты труда машинистов</v>
      </c>
      <c r="D44" s="26" t="str">
        <f>SmtRes!O5</f>
        <v>чел.час</v>
      </c>
      <c r="E44" s="25">
        <f>SmtRes!Y5</f>
        <v>0.28</v>
      </c>
      <c r="F44" s="25">
        <f>SmtRes!Y5*Source!I25</f>
        <v>0.168</v>
      </c>
      <c r="G44" s="25">
        <f>IF(SmtRes!AA5+SmtRes!AB5+SmtRes!AD5=0,"",ROUND((SmtRes!AA5+SmtRes!AB5+SmtRes!AD5),2))</f>
      </c>
      <c r="H44" s="25">
        <f>IF(SmtRes!AA5+SmtRes!AB5+SmtRes!AD5=0,"",ROUND((SmtRes!AA5+SmtRes!AB5+SmtRes!AD5)*F44,2))</f>
      </c>
      <c r="I44" s="25">
        <f>IF(SmtRes!AD5=0,"",ROUND(SmtRes!AD5*F44,2))</f>
      </c>
      <c r="J44" s="25">
        <f>IF(SmtRes!AB5=0,"",ROUND(SmtRes!AB5*F44,2))</f>
      </c>
      <c r="K44" s="25">
        <f>IF(SmtRes!AC5=0,"",ROUND(SmtRes!AC5*F44,2))</f>
      </c>
      <c r="L44" s="25">
        <f>IF(SmtRes!AA5=0,"",ROUND(SmtRes!AA5*F44,2))</f>
      </c>
      <c r="M44" s="25"/>
      <c r="N44" s="25"/>
    </row>
    <row r="45" spans="1:14" ht="12.75">
      <c r="A45" s="52" t="s">
        <v>354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s="17" customFormat="1" ht="36">
      <c r="A46" s="27"/>
      <c r="B46" s="28" t="str">
        <f>SmtRes!I6</f>
        <v>030401</v>
      </c>
      <c r="C46" s="28" t="str">
        <f>SmtRes!K6</f>
        <v>Лебедки электрические, тяговым усилием до 5,79 (0,59) кH (т)</v>
      </c>
      <c r="D46" s="28" t="str">
        <f>SmtRes!O6</f>
        <v>маш.-ч</v>
      </c>
      <c r="E46" s="27">
        <f>SmtRes!Y6</f>
        <v>0.39</v>
      </c>
      <c r="F46" s="27">
        <f>SmtRes!Y6*Source!I25</f>
        <v>0.23399999999999999</v>
      </c>
      <c r="G46" s="27">
        <f>IF(SmtRes!AA6+SmtRes!AB6+SmtRes!AD6=0,"",ROUND((SmtRes!AA6+SmtRes!AB6+SmtRes!AD6),2))</f>
        <v>2.77</v>
      </c>
      <c r="H46" s="27">
        <f>IF(SmtRes!AA6+SmtRes!AB6+SmtRes!AD6=0,"",ROUND((SmtRes!AA6+SmtRes!AB6+SmtRes!AD6)*F46,2))</f>
        <v>0.65</v>
      </c>
      <c r="I46" s="27">
        <f>IF(SmtRes!AD6=0,"",ROUND(SmtRes!AD6*F46,2))</f>
      </c>
      <c r="J46" s="27">
        <f>IF(SmtRes!AB6=0,"",ROUND(SmtRes!AB6*F46,2))</f>
        <v>0.65</v>
      </c>
      <c r="K46" s="27">
        <f>IF(SmtRes!AC6=0,"",ROUND(SmtRes!AC6*F46,2))</f>
      </c>
      <c r="L46" s="27">
        <f>IF(SmtRes!AA6=0,"",ROUND(SmtRes!AA6*F46,2))</f>
      </c>
      <c r="M46" s="27"/>
      <c r="N46" s="27"/>
    </row>
    <row r="47" spans="1:14" s="17" customFormat="1" ht="24">
      <c r="A47" s="27"/>
      <c r="B47" s="28" t="str">
        <f>SmtRes!I7</f>
        <v>400001</v>
      </c>
      <c r="C47" s="28" t="str">
        <f>SmtRes!K7</f>
        <v>Автомобили бортовые грузоподъемностью до 5 т</v>
      </c>
      <c r="D47" s="28" t="str">
        <f>SmtRes!O7</f>
        <v>маш.-ч</v>
      </c>
      <c r="E47" s="27">
        <f>SmtRes!Y7</f>
        <v>0.28</v>
      </c>
      <c r="F47" s="27">
        <f>SmtRes!Y7*Source!I25</f>
        <v>0.168</v>
      </c>
      <c r="G47" s="27">
        <f>IF(SmtRes!AA7+SmtRes!AB7+SmtRes!AD7=0,"",ROUND((SmtRes!AA7+SmtRes!AB7+SmtRes!AD7),2))</f>
        <v>60.77</v>
      </c>
      <c r="H47" s="27">
        <f>IF(SmtRes!AA7+SmtRes!AB7+SmtRes!AD7=0,"",ROUND((SmtRes!AA7+SmtRes!AB7+SmtRes!AD7)*F47,2))</f>
        <v>10.21</v>
      </c>
      <c r="I47" s="27">
        <f>IF(SmtRes!AD7=0,"",ROUND(SmtRes!AD7*F47,2))</f>
      </c>
      <c r="J47" s="27">
        <f>IF(SmtRes!AB7=0,"",ROUND(SmtRes!AB7*F47,2))</f>
        <v>10.21</v>
      </c>
      <c r="K47" s="27">
        <f>IF(SmtRes!AC7=0,"",ROUND(SmtRes!AC7*F47,2))</f>
      </c>
      <c r="L47" s="27">
        <f>IF(SmtRes!AA7=0,"",ROUND(SmtRes!AA7*F47,2))</f>
      </c>
      <c r="M47" s="27"/>
      <c r="N47" s="27"/>
    </row>
    <row r="48" spans="1:14" ht="12.75">
      <c r="A48" s="52" t="s">
        <v>355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s="18" customFormat="1" ht="12">
      <c r="A49" s="31"/>
      <c r="B49" s="32" t="str">
        <f>SmtRes!I8</f>
        <v>101-1805</v>
      </c>
      <c r="C49" s="32" t="str">
        <f>SmtRes!K8</f>
        <v>Гвозди строительные</v>
      </c>
      <c r="D49" s="32" t="str">
        <f>SmtRes!O8</f>
        <v>т</v>
      </c>
      <c r="E49" s="31">
        <f>SmtRes!Y8</f>
        <v>0.004</v>
      </c>
      <c r="F49" s="31">
        <f>SmtRes!Y8*Source!I25</f>
        <v>0.0024</v>
      </c>
      <c r="G49" s="31">
        <f>IF(SmtRes!AA8+SmtRes!AB8+SmtRes!AD8=0,"",ROUND((SmtRes!AA8+SmtRes!AB8+SmtRes!AD8),2))</f>
        <v>7696.95</v>
      </c>
      <c r="H49" s="31">
        <f>IF(SmtRes!AA8+SmtRes!AB8+SmtRes!AD8=0,"",ROUND((SmtRes!AA8+SmtRes!AB8+SmtRes!AD8)*F49,2))</f>
        <v>18.47</v>
      </c>
      <c r="I49" s="31">
        <f>IF(SmtRes!AD8=0,"",ROUND(SmtRes!AD8*F49,2))</f>
      </c>
      <c r="J49" s="31">
        <f>IF(SmtRes!AB8=0,"",ROUND(SmtRes!AB8*F49,2))</f>
      </c>
      <c r="K49" s="31">
        <f>IF(SmtRes!AC8=0,"",ROUND(SmtRes!AC8*F49,2))</f>
      </c>
      <c r="L49" s="31">
        <f>IF(SmtRes!AA8=0,"",ROUND(SmtRes!AA8*F49,2))</f>
        <v>18.47</v>
      </c>
      <c r="M49" s="31"/>
      <c r="N49" s="31"/>
    </row>
    <row r="50" spans="1:14" s="18" customFormat="1" ht="60">
      <c r="A50" s="31"/>
      <c r="B50" s="32" t="str">
        <f>SmtRes!I9</f>
        <v>102-0080</v>
      </c>
      <c r="C50" s="32" t="str">
        <f>SmtRes!K9</f>
        <v>Пиломатериалы хвойных пород.Доски необрезные длиной 4-6.5 м, все ширины, толщиной 44 мм и более   II сорта</v>
      </c>
      <c r="D50" s="32" t="str">
        <f>SmtRes!O9</f>
        <v>м3</v>
      </c>
      <c r="E50" s="31">
        <f>SmtRes!Y9</f>
        <v>1.3</v>
      </c>
      <c r="F50" s="31">
        <f>SmtRes!Y9*Source!I25</f>
        <v>0.78</v>
      </c>
      <c r="G50" s="31">
        <f>IF(SmtRes!AA9+SmtRes!AB9+SmtRes!AD9=0,"",ROUND((SmtRes!AA9+SmtRes!AB9+SmtRes!AD9),2))</f>
        <v>1023.16</v>
      </c>
      <c r="H50" s="31">
        <f>IF(SmtRes!AA9+SmtRes!AB9+SmtRes!AD9=0,"",ROUND((SmtRes!AA9+SmtRes!AB9+SmtRes!AD9)*F50,2))</f>
        <v>798.06</v>
      </c>
      <c r="I50" s="31">
        <f>IF(SmtRes!AD9=0,"",ROUND(SmtRes!AD9*F50,2))</f>
      </c>
      <c r="J50" s="31">
        <f>IF(SmtRes!AB9=0,"",ROUND(SmtRes!AB9*F50,2))</f>
      </c>
      <c r="K50" s="31">
        <f>IF(SmtRes!AC9=0,"",ROUND(SmtRes!AC9*F50,2))</f>
      </c>
      <c r="L50" s="31">
        <f>IF(SmtRes!AA9=0,"",ROUND(SmtRes!AA9*F50,2))</f>
        <v>798.06</v>
      </c>
      <c r="M50" s="31"/>
      <c r="N50" s="31"/>
    </row>
    <row r="51" spans="1:14" s="18" customFormat="1" ht="12">
      <c r="A51" s="29"/>
      <c r="B51" s="30" t="str">
        <f>SmtRes!I10</f>
        <v>999-9900</v>
      </c>
      <c r="C51" s="30" t="str">
        <f>SmtRes!K10</f>
        <v>Строительный мусор</v>
      </c>
      <c r="D51" s="30" t="str">
        <f>SmtRes!O10</f>
        <v>т</v>
      </c>
      <c r="E51" s="29">
        <f>SmtRes!Y10</f>
        <v>2.11</v>
      </c>
      <c r="F51" s="29">
        <f>SmtRes!Y10*Source!I25</f>
        <v>1.2659999999999998</v>
      </c>
      <c r="G51" s="29">
        <f>IF(SmtRes!AA10+SmtRes!AB10+SmtRes!AD10=0,"",ROUND((SmtRes!AA10+SmtRes!AB10+SmtRes!AD10),2))</f>
      </c>
      <c r="H51" s="29">
        <f>IF(SmtRes!AA10+SmtRes!AB10+SmtRes!AD10=0,"",ROUND((SmtRes!AA10+SmtRes!AB10+SmtRes!AD10)*F51,2))</f>
      </c>
      <c r="I51" s="29">
        <f>IF(SmtRes!AD10=0,"",ROUND(SmtRes!AD10*F51,2))</f>
      </c>
      <c r="J51" s="29">
        <f>IF(SmtRes!AB10=0,"",ROUND(SmtRes!AB10*F51,2))</f>
      </c>
      <c r="K51" s="29">
        <f>IF(SmtRes!AC10=0,"",ROUND(SmtRes!AC10*F51,2))</f>
      </c>
      <c r="L51" s="29">
        <f>IF(SmtRes!AA10=0,"",ROUND(SmtRes!AA10*F51,2))</f>
      </c>
      <c r="M51" s="29"/>
      <c r="N51" s="29"/>
    </row>
    <row r="52" spans="1:14" ht="51">
      <c r="A52" s="21">
        <f>Source!E26</f>
        <v>3</v>
      </c>
      <c r="B52" s="22" t="str">
        <f>Source!BJ26</f>
        <v>ТЕРр Ульяновской обл.,сб.58,поз.20-2</v>
      </c>
      <c r="C52" s="22" t="str">
        <f>Source!G26</f>
        <v>Смена обделок из листовой стали поясков, сандриков, отливов, карнизов шириной до 0,7 м</v>
      </c>
      <c r="D52" s="22" t="str">
        <f>Source!H26</f>
        <v>100 м</v>
      </c>
      <c r="E52" s="23"/>
      <c r="F52" s="23">
        <f>Source!I26</f>
        <v>1.4</v>
      </c>
      <c r="G52" s="24">
        <f>IF(Source!AB26=0,"",ROUND(Source!AB26,2))</f>
        <v>4602.01</v>
      </c>
      <c r="H52" s="24">
        <f>IF(Source!O26=0,"",ROUND(Source!O26,2))</f>
        <v>6442.81</v>
      </c>
      <c r="I52" s="24">
        <f>IF(Source!S26=0,"",ROUND(Source!S26,2))</f>
        <v>754.08</v>
      </c>
      <c r="J52" s="24">
        <f>IF(Source!Q26=0,"",ROUND(Source!Q26,2))</f>
        <v>7.71</v>
      </c>
      <c r="K52" s="24">
        <f>IF(Source!R26=0,"",ROUND(Source!R26,2))</f>
        <v>2.16</v>
      </c>
      <c r="L52" s="24">
        <f>IF(Source!P26=0,"",ROUND(Source!P26,2))</f>
        <v>5681.02</v>
      </c>
      <c r="M52" s="24">
        <f>IF(Source!U26=0,"",ROUND(Source!U26,2))</f>
        <v>88.51</v>
      </c>
      <c r="N52" s="24">
        <f>IF(Source!V26=0,"",ROUND(Source!V26,2))</f>
        <v>0.28</v>
      </c>
    </row>
    <row r="53" spans="1:14" s="16" customFormat="1" ht="36">
      <c r="A53" s="25"/>
      <c r="B53" s="26" t="str">
        <f>SmtRes!I11</f>
        <v>1-3.0-73</v>
      </c>
      <c r="C53" s="26" t="str">
        <f>SmtRes!K11</f>
        <v>Затраты труда рабочих-строителей (средний разряд 3.0)</v>
      </c>
      <c r="D53" s="26" t="str">
        <f>SmtRes!O11</f>
        <v>чел.ч</v>
      </c>
      <c r="E53" s="25">
        <f>SmtRes!Y11</f>
        <v>63.22</v>
      </c>
      <c r="F53" s="25">
        <f>SmtRes!Y11*Source!I26</f>
        <v>88.508</v>
      </c>
      <c r="G53" s="25">
        <f>IF(SmtRes!AA11+SmtRes!AB11+SmtRes!AD11=0,"",ROUND((SmtRes!AA11+SmtRes!AB11+SmtRes!AD11),2))</f>
        <v>8.52</v>
      </c>
      <c r="H53" s="25">
        <f>IF(SmtRes!AA11+SmtRes!AB11+SmtRes!AD11=0,"",ROUND((SmtRes!AA11+SmtRes!AB11+SmtRes!AD11)*F53,2))</f>
        <v>754.09</v>
      </c>
      <c r="I53" s="25">
        <f>IF(SmtRes!AD11=0,"",ROUND(SmtRes!AD11*F53,2))</f>
        <v>754.09</v>
      </c>
      <c r="J53" s="25">
        <f>IF(SmtRes!AB11=0,"",ROUND(SmtRes!AB11*F53,2))</f>
      </c>
      <c r="K53" s="25">
        <f>IF(SmtRes!AC11=0,"",ROUND(SmtRes!AC11*F53,2))</f>
      </c>
      <c r="L53" s="25">
        <f>IF(SmtRes!AA11=0,"",ROUND(SmtRes!AA11*F53,2))</f>
      </c>
      <c r="M53" s="25"/>
      <c r="N53" s="25"/>
    </row>
    <row r="54" spans="1:14" s="16" customFormat="1" ht="24">
      <c r="A54" s="25"/>
      <c r="B54" s="26" t="str">
        <f>SmtRes!I12</f>
        <v>2</v>
      </c>
      <c r="C54" s="26" t="str">
        <f>SmtRes!K12</f>
        <v>Затраты труда машинистов</v>
      </c>
      <c r="D54" s="26" t="str">
        <f>SmtRes!O12</f>
        <v>чел.час</v>
      </c>
      <c r="E54" s="25">
        <f>SmtRes!Y12</f>
        <v>0.2</v>
      </c>
      <c r="F54" s="25">
        <f>SmtRes!Y12*Source!I26</f>
        <v>0.27999999999999997</v>
      </c>
      <c r="G54" s="25">
        <f>IF(SmtRes!AA12+SmtRes!AB12+SmtRes!AD12=0,"",ROUND((SmtRes!AA12+SmtRes!AB12+SmtRes!AD12),2))</f>
      </c>
      <c r="H54" s="25">
        <f>IF(SmtRes!AA12+SmtRes!AB12+SmtRes!AD12=0,"",ROUND((SmtRes!AA12+SmtRes!AB12+SmtRes!AD12)*F54,2))</f>
      </c>
      <c r="I54" s="25">
        <f>IF(SmtRes!AD12=0,"",ROUND(SmtRes!AD12*F54,2))</f>
      </c>
      <c r="J54" s="25">
        <f>IF(SmtRes!AB12=0,"",ROUND(SmtRes!AB12*F54,2))</f>
      </c>
      <c r="K54" s="25">
        <f>IF(SmtRes!AC12=0,"",ROUND(SmtRes!AC12*F54,2))</f>
      </c>
      <c r="L54" s="25">
        <f>IF(SmtRes!AA12=0,"",ROUND(SmtRes!AA12*F54,2))</f>
      </c>
      <c r="M54" s="25"/>
      <c r="N54" s="25"/>
    </row>
    <row r="55" spans="1:14" ht="12.75">
      <c r="A55" s="52" t="s">
        <v>354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s="17" customFormat="1" ht="24">
      <c r="A56" s="27"/>
      <c r="B56" s="28" t="str">
        <f>SmtRes!I13</f>
        <v>031121</v>
      </c>
      <c r="C56" s="28" t="str">
        <f>SmtRes!K13</f>
        <v>Подъемники мачтовые строительные 0.5 т</v>
      </c>
      <c r="D56" s="28" t="str">
        <f>SmtRes!O13</f>
        <v>маш.-ч</v>
      </c>
      <c r="E56" s="27">
        <f>SmtRes!Y13</f>
        <v>0.14</v>
      </c>
      <c r="F56" s="27">
        <f>SmtRes!Y13*Source!I26</f>
        <v>0.196</v>
      </c>
      <c r="G56" s="27">
        <f>IF(SmtRes!AA13+SmtRes!AB13+SmtRes!AD13=0,"",ROUND((SmtRes!AA13+SmtRes!AB13+SmtRes!AD13),2))</f>
        <v>13.25</v>
      </c>
      <c r="H56" s="27">
        <f>IF(SmtRes!AA13+SmtRes!AB13+SmtRes!AD13=0,"",ROUND((SmtRes!AA13+SmtRes!AB13+SmtRes!AD13)*F56,2))</f>
        <v>2.6</v>
      </c>
      <c r="I56" s="27">
        <f>IF(SmtRes!AD13=0,"",ROUND(SmtRes!AD13*F56,2))</f>
      </c>
      <c r="J56" s="27">
        <f>IF(SmtRes!AB13=0,"",ROUND(SmtRes!AB13*F56,2))</f>
        <v>2.6</v>
      </c>
      <c r="K56" s="27">
        <f>IF(SmtRes!AC13=0,"",ROUND(SmtRes!AC13*F56,2))</f>
      </c>
      <c r="L56" s="27">
        <f>IF(SmtRes!AA13=0,"",ROUND(SmtRes!AA13*F56,2))</f>
      </c>
      <c r="M56" s="27"/>
      <c r="N56" s="27"/>
    </row>
    <row r="57" spans="1:14" s="17" customFormat="1" ht="24">
      <c r="A57" s="27"/>
      <c r="B57" s="28" t="str">
        <f>SmtRes!I14</f>
        <v>400001</v>
      </c>
      <c r="C57" s="28" t="str">
        <f>SmtRes!K14</f>
        <v>Автомобили бортовые грузоподъемностью до 5 т</v>
      </c>
      <c r="D57" s="28" t="str">
        <f>SmtRes!O14</f>
        <v>маш.-ч</v>
      </c>
      <c r="E57" s="27">
        <f>SmtRes!Y14</f>
        <v>0.06</v>
      </c>
      <c r="F57" s="27">
        <f>SmtRes!Y14*Source!I26</f>
        <v>0.08399999999999999</v>
      </c>
      <c r="G57" s="27">
        <f>IF(SmtRes!AA14+SmtRes!AB14+SmtRes!AD14=0,"",ROUND((SmtRes!AA14+SmtRes!AB14+SmtRes!AD14),2))</f>
        <v>60.77</v>
      </c>
      <c r="H57" s="27">
        <f>IF(SmtRes!AA14+SmtRes!AB14+SmtRes!AD14=0,"",ROUND((SmtRes!AA14+SmtRes!AB14+SmtRes!AD14)*F57,2))</f>
        <v>5.1</v>
      </c>
      <c r="I57" s="27">
        <f>IF(SmtRes!AD14=0,"",ROUND(SmtRes!AD14*F57,2))</f>
      </c>
      <c r="J57" s="27">
        <f>IF(SmtRes!AB14=0,"",ROUND(SmtRes!AB14*F57,2))</f>
        <v>5.1</v>
      </c>
      <c r="K57" s="27">
        <f>IF(SmtRes!AC14=0,"",ROUND(SmtRes!AC14*F57,2))</f>
      </c>
      <c r="L57" s="27">
        <f>IF(SmtRes!AA14=0,"",ROUND(SmtRes!AA14*F57,2))</f>
      </c>
      <c r="M57" s="27"/>
      <c r="N57" s="27"/>
    </row>
    <row r="58" spans="1:14" ht="12.75">
      <c r="A58" s="52" t="s">
        <v>355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s="18" customFormat="1" ht="36">
      <c r="A59" s="31"/>
      <c r="B59" s="32" t="str">
        <f>SmtRes!I15</f>
        <v>101-0794</v>
      </c>
      <c r="C59" s="32" t="str">
        <f>SmtRes!K15</f>
        <v>Проволока катанная оцинкованная  диаметром 2.6 мм</v>
      </c>
      <c r="D59" s="32" t="str">
        <f>SmtRes!O15</f>
        <v>т</v>
      </c>
      <c r="E59" s="31">
        <f>SmtRes!Y15</f>
        <v>0.006</v>
      </c>
      <c r="F59" s="31">
        <f>SmtRes!Y15*Source!I26</f>
        <v>0.0084</v>
      </c>
      <c r="G59" s="31">
        <f>IF(SmtRes!AA15+SmtRes!AB15+SmtRes!AD15=0,"",ROUND((SmtRes!AA15+SmtRes!AB15+SmtRes!AD15),2))</f>
        <v>11545.42</v>
      </c>
      <c r="H59" s="31">
        <f>IF(SmtRes!AA15+SmtRes!AB15+SmtRes!AD15=0,"",ROUND((SmtRes!AA15+SmtRes!AB15+SmtRes!AD15)*F59,2))</f>
        <v>96.98</v>
      </c>
      <c r="I59" s="31">
        <f>IF(SmtRes!AD15=0,"",ROUND(SmtRes!AD15*F59,2))</f>
      </c>
      <c r="J59" s="31">
        <f>IF(SmtRes!AB15=0,"",ROUND(SmtRes!AB15*F59,2))</f>
      </c>
      <c r="K59" s="31">
        <f>IF(SmtRes!AC15=0,"",ROUND(SmtRes!AC15*F59,2))</f>
      </c>
      <c r="L59" s="31">
        <f>IF(SmtRes!AA15=0,"",ROUND(SmtRes!AA15*F59,2))</f>
        <v>96.98</v>
      </c>
      <c r="M59" s="31"/>
      <c r="N59" s="31"/>
    </row>
    <row r="60" spans="1:14" s="18" customFormat="1" ht="12">
      <c r="A60" s="31"/>
      <c r="B60" s="32" t="str">
        <f>SmtRes!I16</f>
        <v>101-1805</v>
      </c>
      <c r="C60" s="32" t="str">
        <f>SmtRes!K16</f>
        <v>Гвозди строительные</v>
      </c>
      <c r="D60" s="32" t="str">
        <f>SmtRes!O16</f>
        <v>т</v>
      </c>
      <c r="E60" s="31">
        <f>SmtRes!Y16</f>
        <v>0.004</v>
      </c>
      <c r="F60" s="31">
        <f>SmtRes!Y16*Source!I26</f>
        <v>0.0056</v>
      </c>
      <c r="G60" s="31">
        <f>IF(SmtRes!AA16+SmtRes!AB16+SmtRes!AD16=0,"",ROUND((SmtRes!AA16+SmtRes!AB16+SmtRes!AD16),2))</f>
        <v>7696.95</v>
      </c>
      <c r="H60" s="31">
        <f>IF(SmtRes!AA16+SmtRes!AB16+SmtRes!AD16=0,"",ROUND((SmtRes!AA16+SmtRes!AB16+SmtRes!AD16)*F60,2))</f>
        <v>43.1</v>
      </c>
      <c r="I60" s="31">
        <f>IF(SmtRes!AD16=0,"",ROUND(SmtRes!AD16*F60,2))</f>
      </c>
      <c r="J60" s="31">
        <f>IF(SmtRes!AB16=0,"",ROUND(SmtRes!AB16*F60,2))</f>
      </c>
      <c r="K60" s="31">
        <f>IF(SmtRes!AC16=0,"",ROUND(SmtRes!AC16*F60,2))</f>
      </c>
      <c r="L60" s="31">
        <f>IF(SmtRes!AA16=0,"",ROUND(SmtRes!AA16*F60,2))</f>
        <v>43.1</v>
      </c>
      <c r="M60" s="31"/>
      <c r="N60" s="31"/>
    </row>
    <row r="61" spans="1:14" s="18" customFormat="1" ht="36">
      <c r="A61" s="31"/>
      <c r="B61" s="32" t="str">
        <f>SmtRes!I17</f>
        <v>101-9351</v>
      </c>
      <c r="C61" s="32" t="str">
        <f>SmtRes!K17</f>
        <v>Сталь листовая оцинкованная толщиной листа 0,7 мм</v>
      </c>
      <c r="D61" s="32" t="str">
        <f>SmtRes!O17</f>
        <v>т</v>
      </c>
      <c r="E61" s="31">
        <f>SmtRes!Y17</f>
        <v>0.324</v>
      </c>
      <c r="F61" s="31">
        <f>SmtRes!Y17*Source!I26</f>
        <v>0.4536</v>
      </c>
      <c r="G61" s="31">
        <f>IF(SmtRes!AA17+SmtRes!AB17+SmtRes!AD17=0,"",ROUND((SmtRes!AA17+SmtRes!AB17+SmtRes!AD17),2))</f>
        <v>11200</v>
      </c>
      <c r="H61" s="31">
        <f>IF(SmtRes!AA17+SmtRes!AB17+SmtRes!AD17=0,"",ROUND((SmtRes!AA17+SmtRes!AB17+SmtRes!AD17)*F61,2))</f>
        <v>5080.32</v>
      </c>
      <c r="I61" s="31">
        <f>IF(SmtRes!AD17=0,"",ROUND(SmtRes!AD17*F61,2))</f>
      </c>
      <c r="J61" s="31">
        <f>IF(SmtRes!AB17=0,"",ROUND(SmtRes!AB17*F61,2))</f>
      </c>
      <c r="K61" s="31">
        <f>IF(SmtRes!AC17=0,"",ROUND(SmtRes!AC17*F61,2))</f>
      </c>
      <c r="L61" s="31">
        <f>IF(SmtRes!AA17=0,"",ROUND(SmtRes!AA17*F61,2))</f>
        <v>5080.32</v>
      </c>
      <c r="M61" s="31"/>
      <c r="N61" s="31"/>
    </row>
    <row r="62" spans="1:14" s="18" customFormat="1" ht="12">
      <c r="A62" s="29"/>
      <c r="B62" s="30" t="str">
        <f>SmtRes!I18</f>
        <v>999-9900</v>
      </c>
      <c r="C62" s="30" t="str">
        <f>SmtRes!K18</f>
        <v>Строительный мусор</v>
      </c>
      <c r="D62" s="30" t="str">
        <f>SmtRes!O18</f>
        <v>т</v>
      </c>
      <c r="E62" s="29">
        <f>SmtRes!Y18</f>
        <v>0.33</v>
      </c>
      <c r="F62" s="29">
        <f>SmtRes!Y18*Source!I26</f>
        <v>0.46199999999999997</v>
      </c>
      <c r="G62" s="29">
        <f>IF(SmtRes!AA18+SmtRes!AB18+SmtRes!AD18=0,"",ROUND((SmtRes!AA18+SmtRes!AB18+SmtRes!AD18),2))</f>
      </c>
      <c r="H62" s="29">
        <f>IF(SmtRes!AA18+SmtRes!AB18+SmtRes!AD18=0,"",ROUND((SmtRes!AA18+SmtRes!AB18+SmtRes!AD18)*F62,2))</f>
      </c>
      <c r="I62" s="29">
        <f>IF(SmtRes!AD18=0,"",ROUND(SmtRes!AD18*F62,2))</f>
      </c>
      <c r="J62" s="29">
        <f>IF(SmtRes!AB18=0,"",ROUND(SmtRes!AB18*F62,2))</f>
      </c>
      <c r="K62" s="29">
        <f>IF(SmtRes!AC18=0,"",ROUND(SmtRes!AC18*F62,2))</f>
      </c>
      <c r="L62" s="29">
        <f>IF(SmtRes!AA18=0,"",ROUND(SmtRes!AA18*F62,2))</f>
      </c>
      <c r="M62" s="29"/>
      <c r="N62" s="29"/>
    </row>
    <row r="63" spans="1:14" ht="63.75">
      <c r="A63" s="21">
        <f>Source!E27</f>
        <v>4</v>
      </c>
      <c r="B63" s="22" t="str">
        <f>Source!BJ27</f>
        <v>ТЕР Ульяновской обл.сб.12,гл.01,табл.007,поз.3</v>
      </c>
      <c r="C63" s="22" t="str">
        <f>Source!G27</f>
        <v>Устройство кровель из волнистых асбестоцементных листов унифицированного профиля по готовым прогонам</v>
      </c>
      <c r="D63" s="22" t="str">
        <f>Source!H27</f>
        <v>100 м2</v>
      </c>
      <c r="E63" s="23"/>
      <c r="F63" s="23">
        <f>Source!I27</f>
        <v>9.5</v>
      </c>
      <c r="G63" s="24">
        <f>IF(Source!AB27=0,"",ROUND(Source!AB27,2))</f>
        <v>4031.02</v>
      </c>
      <c r="H63" s="24">
        <f>IF(Source!O27=0,"",ROUND(Source!O27,2))</f>
        <v>38294.7</v>
      </c>
      <c r="I63" s="24">
        <f>IF(Source!S27=0,"",ROUND(Source!S27,2))</f>
        <v>3867.64</v>
      </c>
      <c r="J63" s="24">
        <f>IF(Source!Q27=0,"",ROUND(Source!Q27,2))</f>
        <v>1136.3</v>
      </c>
      <c r="K63" s="24">
        <f>IF(Source!R27=0,"",ROUND(Source!R27,2))</f>
        <v>133.48</v>
      </c>
      <c r="L63" s="24">
        <f>IF(Source!P27=0,"",ROUND(Source!P27,2))</f>
        <v>33290.76</v>
      </c>
      <c r="M63" s="24">
        <f>IF(Source!U27=0,"",ROUND(Source!U27,2))</f>
        <v>448.69</v>
      </c>
      <c r="N63" s="24">
        <f>IF(Source!V27=0,"",ROUND(Source!V27,2))</f>
        <v>11.31</v>
      </c>
    </row>
    <row r="64" spans="1:14" s="16" customFormat="1" ht="36">
      <c r="A64" s="25"/>
      <c r="B64" s="26" t="str">
        <f>SmtRes!I19</f>
        <v>1-3.1-73</v>
      </c>
      <c r="C64" s="26" t="str">
        <f>SmtRes!K19</f>
        <v>Затраты труда рабочих-строителей (средний разряд 3.1)</v>
      </c>
      <c r="D64" s="26" t="str">
        <f>SmtRes!O19</f>
        <v>чел.ч</v>
      </c>
      <c r="E64" s="25">
        <f>SmtRes!Y19</f>
        <v>47.23</v>
      </c>
      <c r="F64" s="25">
        <f>SmtRes!Y19*Source!I27</f>
        <v>448.68499999999995</v>
      </c>
      <c r="G64" s="25">
        <f>IF(SmtRes!AA19+SmtRes!AB19+SmtRes!AD19=0,"",ROUND((SmtRes!AA19+SmtRes!AB19+SmtRes!AD19),2))</f>
        <v>8.62</v>
      </c>
      <c r="H64" s="25">
        <f>IF(SmtRes!AA19+SmtRes!AB19+SmtRes!AD19=0,"",ROUND((SmtRes!AA19+SmtRes!AB19+SmtRes!AD19)*F64,2))</f>
        <v>3867.66</v>
      </c>
      <c r="I64" s="25">
        <f>IF(SmtRes!AD19=0,"",ROUND(SmtRes!AD19*F64,2))</f>
        <v>3867.66</v>
      </c>
      <c r="J64" s="25">
        <f>IF(SmtRes!AB19=0,"",ROUND(SmtRes!AB19*F64,2))</f>
      </c>
      <c r="K64" s="25">
        <f>IF(SmtRes!AC19=0,"",ROUND(SmtRes!AC19*F64,2))</f>
      </c>
      <c r="L64" s="25">
        <f>IF(SmtRes!AA19=0,"",ROUND(SmtRes!AA19*F64,2))</f>
      </c>
      <c r="M64" s="25"/>
      <c r="N64" s="25"/>
    </row>
    <row r="65" spans="1:14" s="16" customFormat="1" ht="24">
      <c r="A65" s="25"/>
      <c r="B65" s="26" t="str">
        <f>SmtRes!I20</f>
        <v>2</v>
      </c>
      <c r="C65" s="26" t="str">
        <f>SmtRes!K20</f>
        <v>Затраты труда машинистов</v>
      </c>
      <c r="D65" s="26" t="str">
        <f>SmtRes!O20</f>
        <v>чел.час</v>
      </c>
      <c r="E65" s="25">
        <f>SmtRes!Y20</f>
        <v>1.19</v>
      </c>
      <c r="F65" s="25">
        <f>SmtRes!Y20*Source!I27</f>
        <v>11.305</v>
      </c>
      <c r="G65" s="25">
        <f>IF(SmtRes!AA20+SmtRes!AB20+SmtRes!AD20=0,"",ROUND((SmtRes!AA20+SmtRes!AB20+SmtRes!AD20),2))</f>
      </c>
      <c r="H65" s="25">
        <f>IF(SmtRes!AA20+SmtRes!AB20+SmtRes!AD20=0,"",ROUND((SmtRes!AA20+SmtRes!AB20+SmtRes!AD20)*F65,2))</f>
      </c>
      <c r="I65" s="25">
        <f>IF(SmtRes!AD20=0,"",ROUND(SmtRes!AD20*F65,2))</f>
      </c>
      <c r="J65" s="25">
        <f>IF(SmtRes!AB20=0,"",ROUND(SmtRes!AB20*F65,2))</f>
      </c>
      <c r="K65" s="25">
        <f>IF(SmtRes!AC20=0,"",ROUND(SmtRes!AC20*F65,2))</f>
      </c>
      <c r="L65" s="25">
        <f>IF(SmtRes!AA20=0,"",ROUND(SmtRes!AA20*F65,2))</f>
      </c>
      <c r="M65" s="25"/>
      <c r="N65" s="25"/>
    </row>
    <row r="66" spans="1:14" ht="12.75">
      <c r="A66" s="52" t="s">
        <v>354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s="17" customFormat="1" ht="72">
      <c r="A67" s="27"/>
      <c r="B67" s="28" t="str">
        <f>SmtRes!I21</f>
        <v>020129</v>
      </c>
      <c r="C67" s="28" t="str">
        <f>SmtRes!K21</f>
        <v>Краны башенные при работе на других видах строительства (кроме монтажа технологического оборудования) 8 т</v>
      </c>
      <c r="D67" s="28" t="str">
        <f>SmtRes!O21</f>
        <v>маш.ч</v>
      </c>
      <c r="E67" s="27">
        <f>SmtRes!Y21</f>
        <v>0.5</v>
      </c>
      <c r="F67" s="27">
        <f>SmtRes!Y21*Source!I27</f>
        <v>4.75</v>
      </c>
      <c r="G67" s="27">
        <f>IF(SmtRes!AA21+SmtRes!AB21+SmtRes!AD21=0,"",ROUND((SmtRes!AA21+SmtRes!AB21+SmtRes!AD21),2))</f>
        <v>118.84</v>
      </c>
      <c r="H67" s="27">
        <f>IF(SmtRes!AA21+SmtRes!AB21+SmtRes!AD21=0,"",ROUND((SmtRes!AA21+SmtRes!AB21+SmtRes!AD21)*F67,2))</f>
        <v>564.49</v>
      </c>
      <c r="I67" s="27">
        <f>IF(SmtRes!AD21=0,"",ROUND(SmtRes!AD21*F67,2))</f>
      </c>
      <c r="J67" s="27">
        <f>IF(SmtRes!AB21=0,"",ROUND(SmtRes!AB21*F67,2))</f>
        <v>564.49</v>
      </c>
      <c r="K67" s="27">
        <f>IF(SmtRes!AC21=0,"",ROUND(SmtRes!AC21*F67,2))</f>
      </c>
      <c r="L67" s="27">
        <f>IF(SmtRes!AA21=0,"",ROUND(SmtRes!AA21*F67,2))</f>
      </c>
      <c r="M67" s="27"/>
      <c r="N67" s="27"/>
    </row>
    <row r="68" spans="1:14" s="17" customFormat="1" ht="60">
      <c r="A68" s="27"/>
      <c r="B68" s="28" t="str">
        <f>SmtRes!I22</f>
        <v>021141</v>
      </c>
      <c r="C68" s="28" t="str">
        <f>SmtRes!K22</f>
        <v>Краны на автомобильном ходу при работе на других видах строительства (кроме магистральных трубопроводов) 10 т</v>
      </c>
      <c r="D68" s="28" t="str">
        <f>SmtRes!O22</f>
        <v>маш.-ч</v>
      </c>
      <c r="E68" s="27">
        <f>SmtRes!Y22</f>
        <v>0.29</v>
      </c>
      <c r="F68" s="27">
        <f>SmtRes!Y22*Source!I27</f>
        <v>2.755</v>
      </c>
      <c r="G68" s="27">
        <f>IF(SmtRes!AA22+SmtRes!AB22+SmtRes!AD22=0,"",ROUND((SmtRes!AA22+SmtRes!AB22+SmtRes!AD22),2))</f>
        <v>123.73</v>
      </c>
      <c r="H68" s="27">
        <f>IF(SmtRes!AA22+SmtRes!AB22+SmtRes!AD22=0,"",ROUND((SmtRes!AA22+SmtRes!AB22+SmtRes!AD22)*F68,2))</f>
        <v>340.88</v>
      </c>
      <c r="I68" s="27">
        <f>IF(SmtRes!AD22=0,"",ROUND(SmtRes!AD22*F68,2))</f>
      </c>
      <c r="J68" s="27">
        <f>IF(SmtRes!AB22=0,"",ROUND(SmtRes!AB22*F68,2))</f>
        <v>340.88</v>
      </c>
      <c r="K68" s="27">
        <f>IF(SmtRes!AC22=0,"",ROUND(SmtRes!AC22*F68,2))</f>
      </c>
      <c r="L68" s="27">
        <f>IF(SmtRes!AA22=0,"",ROUND(SmtRes!AA22*F68,2))</f>
      </c>
      <c r="M68" s="27"/>
      <c r="N68" s="27"/>
    </row>
    <row r="69" spans="1:14" s="17" customFormat="1" ht="24">
      <c r="A69" s="27"/>
      <c r="B69" s="28" t="str">
        <f>SmtRes!I23</f>
        <v>400001</v>
      </c>
      <c r="C69" s="28" t="str">
        <f>SmtRes!K23</f>
        <v>Автомобили бортовые грузоподъемностью до 5 т</v>
      </c>
      <c r="D69" s="28" t="str">
        <f>SmtRes!O23</f>
        <v>маш.-ч</v>
      </c>
      <c r="E69" s="27">
        <f>SmtRes!Y23</f>
        <v>0.4</v>
      </c>
      <c r="F69" s="27">
        <f>SmtRes!Y23*Source!I27</f>
        <v>3.8000000000000003</v>
      </c>
      <c r="G69" s="27">
        <f>IF(SmtRes!AA23+SmtRes!AB23+SmtRes!AD23=0,"",ROUND((SmtRes!AA23+SmtRes!AB23+SmtRes!AD23),2))</f>
        <v>60.77</v>
      </c>
      <c r="H69" s="27">
        <f>IF(SmtRes!AA23+SmtRes!AB23+SmtRes!AD23=0,"",ROUND((SmtRes!AA23+SmtRes!AB23+SmtRes!AD23)*F69,2))</f>
        <v>230.93</v>
      </c>
      <c r="I69" s="27">
        <f>IF(SmtRes!AD23=0,"",ROUND(SmtRes!AD23*F69,2))</f>
      </c>
      <c r="J69" s="27">
        <f>IF(SmtRes!AB23=0,"",ROUND(SmtRes!AB23*F69,2))</f>
        <v>230.93</v>
      </c>
      <c r="K69" s="27">
        <f>IF(SmtRes!AC23=0,"",ROUND(SmtRes!AC23*F69,2))</f>
      </c>
      <c r="L69" s="27">
        <f>IF(SmtRes!AA23=0,"",ROUND(SmtRes!AA23*F69,2))</f>
      </c>
      <c r="M69" s="27"/>
      <c r="N69" s="27"/>
    </row>
    <row r="70" spans="1:14" ht="12.75">
      <c r="A70" s="52" t="s">
        <v>355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s="18" customFormat="1" ht="60">
      <c r="A71" s="31"/>
      <c r="B71" s="32" t="str">
        <f>SmtRes!I24</f>
        <v>101-0036</v>
      </c>
      <c r="C71" s="32" t="str">
        <f>SmtRes!K24</f>
        <v>Листы асбестоцементные волнистые  унифицированного профиля 54/200 толщиной 7.5 мм</v>
      </c>
      <c r="D71" s="32" t="str">
        <f>SmtRes!O24</f>
        <v>м2</v>
      </c>
      <c r="E71" s="31">
        <f>SmtRes!Y24</f>
        <v>130</v>
      </c>
      <c r="F71" s="31">
        <f>SmtRes!Y24*Source!I27</f>
        <v>1235</v>
      </c>
      <c r="G71" s="31">
        <f>IF(SmtRes!AA24+SmtRes!AB24+SmtRes!AD24=0,"",ROUND((SmtRes!AA24+SmtRes!AB24+SmtRes!AD24),2))</f>
        <v>21.57</v>
      </c>
      <c r="H71" s="31">
        <f>IF(SmtRes!AA24+SmtRes!AB24+SmtRes!AD24=0,"",ROUND((SmtRes!AA24+SmtRes!AB24+SmtRes!AD24)*F71,2))</f>
        <v>26638.95</v>
      </c>
      <c r="I71" s="31">
        <f>IF(SmtRes!AD24=0,"",ROUND(SmtRes!AD24*F71,2))</f>
      </c>
      <c r="J71" s="31">
        <f>IF(SmtRes!AB24=0,"",ROUND(SmtRes!AB24*F71,2))</f>
      </c>
      <c r="K71" s="31">
        <f>IF(SmtRes!AC24=0,"",ROUND(SmtRes!AC24*F71,2))</f>
      </c>
      <c r="L71" s="31">
        <f>IF(SmtRes!AA24=0,"",ROUND(SmtRes!AA24*F71,2))</f>
        <v>26638.95</v>
      </c>
      <c r="M71" s="31"/>
      <c r="N71" s="31"/>
    </row>
    <row r="72" spans="1:14" s="18" customFormat="1" ht="24">
      <c r="A72" s="31"/>
      <c r="B72" s="32" t="str">
        <f>SmtRes!I25</f>
        <v>101-0096</v>
      </c>
      <c r="C72" s="32" t="str">
        <f>SmtRes!K25</f>
        <v>Болты оцинкованные  диаметром резьбы 8 мм</v>
      </c>
      <c r="D72" s="32" t="str">
        <f>SmtRes!O25</f>
        <v>т</v>
      </c>
      <c r="E72" s="31">
        <f>SmtRes!Y25</f>
        <v>0.004</v>
      </c>
      <c r="F72" s="31">
        <f>SmtRes!Y25*Source!I27</f>
        <v>0.038</v>
      </c>
      <c r="G72" s="31">
        <f>IF(SmtRes!AA25+SmtRes!AB25+SmtRes!AD25=0,"",ROUND((SmtRes!AA25+SmtRes!AB25+SmtRes!AD25),2))</f>
        <v>15151.43</v>
      </c>
      <c r="H72" s="31">
        <f>IF(SmtRes!AA25+SmtRes!AB25+SmtRes!AD25=0,"",ROUND((SmtRes!AA25+SmtRes!AB25+SmtRes!AD25)*F72,2))</f>
        <v>575.75</v>
      </c>
      <c r="I72" s="31">
        <f>IF(SmtRes!AD25=0,"",ROUND(SmtRes!AD25*F72,2))</f>
      </c>
      <c r="J72" s="31">
        <f>IF(SmtRes!AB25=0,"",ROUND(SmtRes!AB25*F72,2))</f>
      </c>
      <c r="K72" s="31">
        <f>IF(SmtRes!AC25=0,"",ROUND(SmtRes!AC25*F72,2))</f>
      </c>
      <c r="L72" s="31">
        <f>IF(SmtRes!AA25=0,"",ROUND(SmtRes!AA25*F72,2))</f>
        <v>575.75</v>
      </c>
      <c r="M72" s="31"/>
      <c r="N72" s="31"/>
    </row>
    <row r="73" spans="1:14" s="18" customFormat="1" ht="24">
      <c r="A73" s="31"/>
      <c r="B73" s="32" t="str">
        <f>SmtRes!I26</f>
        <v>101-0788</v>
      </c>
      <c r="C73" s="32" t="str">
        <f>SmtRes!K26</f>
        <v>Поковки оцинкованные  массой 2.825 кг</v>
      </c>
      <c r="D73" s="32" t="str">
        <f>SmtRes!O26</f>
        <v>т</v>
      </c>
      <c r="E73" s="31">
        <f>SmtRes!Y26</f>
        <v>0.027</v>
      </c>
      <c r="F73" s="31">
        <f>SmtRes!Y26*Source!I27</f>
        <v>0.2565</v>
      </c>
      <c r="G73" s="31">
        <f>IF(SmtRes!AA26+SmtRes!AB26+SmtRes!AD26=0,"",ROUND((SmtRes!AA26+SmtRes!AB26+SmtRes!AD26),2))</f>
        <v>9571.02</v>
      </c>
      <c r="H73" s="31">
        <f>IF(SmtRes!AA26+SmtRes!AB26+SmtRes!AD26=0,"",ROUND((SmtRes!AA26+SmtRes!AB26+SmtRes!AD26)*F73,2))</f>
        <v>2454.97</v>
      </c>
      <c r="I73" s="31">
        <f>IF(SmtRes!AD26=0,"",ROUND(SmtRes!AD26*F73,2))</f>
      </c>
      <c r="J73" s="31">
        <f>IF(SmtRes!AB26=0,"",ROUND(SmtRes!AB26*F73,2))</f>
      </c>
      <c r="K73" s="31">
        <f>IF(SmtRes!AC26=0,"",ROUND(SmtRes!AC26*F73,2))</f>
      </c>
      <c r="L73" s="31">
        <f>IF(SmtRes!AA26=0,"",ROUND(SmtRes!AA26*F73,2))</f>
        <v>2454.97</v>
      </c>
      <c r="M73" s="31"/>
      <c r="N73" s="31"/>
    </row>
    <row r="74" spans="1:14" s="18" customFormat="1" ht="48">
      <c r="A74" s="31"/>
      <c r="B74" s="32" t="str">
        <f>SmtRes!I27</f>
        <v>101-0856</v>
      </c>
      <c r="C74" s="32" t="str">
        <f>SmtRes!K27</f>
        <v>Рубероид кровельный с крупнозернистой посыпкой  с пылевидной посыпкой РКП-350б</v>
      </c>
      <c r="D74" s="32" t="str">
        <f>SmtRes!O27</f>
        <v>м2</v>
      </c>
      <c r="E74" s="31">
        <f>SmtRes!Y27</f>
        <v>1.58</v>
      </c>
      <c r="F74" s="31">
        <f>SmtRes!Y27*Source!I27</f>
        <v>15.010000000000002</v>
      </c>
      <c r="G74" s="31">
        <f>IF(SmtRes!AA27+SmtRes!AB27+SmtRes!AD27=0,"",ROUND((SmtRes!AA27+SmtRes!AB27+SmtRes!AD27),2))</f>
        <v>4.75</v>
      </c>
      <c r="H74" s="31">
        <f>IF(SmtRes!AA27+SmtRes!AB27+SmtRes!AD27=0,"",ROUND((SmtRes!AA27+SmtRes!AB27+SmtRes!AD27)*F74,2))</f>
        <v>71.3</v>
      </c>
      <c r="I74" s="31">
        <f>IF(SmtRes!AD27=0,"",ROUND(SmtRes!AD27*F74,2))</f>
      </c>
      <c r="J74" s="31">
        <f>IF(SmtRes!AB27=0,"",ROUND(SmtRes!AB27*F74,2))</f>
      </c>
      <c r="K74" s="31">
        <f>IF(SmtRes!AC27=0,"",ROUND(SmtRes!AC27*F74,2))</f>
      </c>
      <c r="L74" s="31">
        <f>IF(SmtRes!AA27=0,"",ROUND(SmtRes!AA27*F74,2))</f>
        <v>71.3</v>
      </c>
      <c r="M74" s="31"/>
      <c r="N74" s="31"/>
    </row>
    <row r="75" spans="1:14" s="18" customFormat="1" ht="12">
      <c r="A75" s="31"/>
      <c r="B75" s="32" t="str">
        <f>SmtRes!I28</f>
        <v>101-1805</v>
      </c>
      <c r="C75" s="32" t="str">
        <f>SmtRes!K28</f>
        <v>Гвозди строительные</v>
      </c>
      <c r="D75" s="32" t="str">
        <f>SmtRes!O28</f>
        <v>т</v>
      </c>
      <c r="E75" s="31">
        <f>SmtRes!Y28</f>
        <v>0.00014</v>
      </c>
      <c r="F75" s="31">
        <f>SmtRes!Y28*Source!I27</f>
        <v>0.0013299999999999998</v>
      </c>
      <c r="G75" s="31">
        <f>IF(SmtRes!AA28+SmtRes!AB28+SmtRes!AD28=0,"",ROUND((SmtRes!AA28+SmtRes!AB28+SmtRes!AD28),2))</f>
        <v>7696.95</v>
      </c>
      <c r="H75" s="31">
        <f>IF(SmtRes!AA28+SmtRes!AB28+SmtRes!AD28=0,"",ROUND((SmtRes!AA28+SmtRes!AB28+SmtRes!AD28)*F75,2))</f>
        <v>10.24</v>
      </c>
      <c r="I75" s="31">
        <f>IF(SmtRes!AD28=0,"",ROUND(SmtRes!AD28*F75,2))</f>
      </c>
      <c r="J75" s="31">
        <f>IF(SmtRes!AB28=0,"",ROUND(SmtRes!AB28*F75,2))</f>
      </c>
      <c r="K75" s="31">
        <f>IF(SmtRes!AC28=0,"",ROUND(SmtRes!AC28*F75,2))</f>
      </c>
      <c r="L75" s="31">
        <f>IF(SmtRes!AA28=0,"",ROUND(SmtRes!AA28*F75,2))</f>
        <v>10.24</v>
      </c>
      <c r="M75" s="31"/>
      <c r="N75" s="31"/>
    </row>
    <row r="76" spans="1:14" s="18" customFormat="1" ht="36">
      <c r="A76" s="31"/>
      <c r="B76" s="32" t="str">
        <f>SmtRes!I29</f>
        <v>101-1875</v>
      </c>
      <c r="C76" s="32" t="str">
        <f>SmtRes!K29</f>
        <v>Сталь оцинкованная листовая  толщина листа 0.7 мм</v>
      </c>
      <c r="D76" s="32" t="str">
        <f>SmtRes!O29</f>
        <v>т</v>
      </c>
      <c r="E76" s="31">
        <f>SmtRes!Y29</f>
        <v>0.02</v>
      </c>
      <c r="F76" s="31">
        <f>SmtRes!Y29*Source!I27</f>
        <v>0.19</v>
      </c>
      <c r="G76" s="31">
        <f>IF(SmtRes!AA29+SmtRes!AB29+SmtRes!AD29=0,"",ROUND((SmtRes!AA29+SmtRes!AB29+SmtRes!AD29),2))</f>
        <v>12215.47</v>
      </c>
      <c r="H76" s="31">
        <f>IF(SmtRes!AA29+SmtRes!AB29+SmtRes!AD29=0,"",ROUND((SmtRes!AA29+SmtRes!AB29+SmtRes!AD29)*F76,2))</f>
        <v>2320.94</v>
      </c>
      <c r="I76" s="31">
        <f>IF(SmtRes!AD29=0,"",ROUND(SmtRes!AD29*F76,2))</f>
      </c>
      <c r="J76" s="31">
        <f>IF(SmtRes!AB29=0,"",ROUND(SmtRes!AB29*F76,2))</f>
      </c>
      <c r="K76" s="31">
        <f>IF(SmtRes!AC29=0,"",ROUND(SmtRes!AC29*F76,2))</f>
      </c>
      <c r="L76" s="31">
        <f>IF(SmtRes!AA29=0,"",ROUND(SmtRes!AA29*F76,2))</f>
        <v>2320.94</v>
      </c>
      <c r="M76" s="31"/>
      <c r="N76" s="31"/>
    </row>
    <row r="77" spans="1:14" s="18" customFormat="1" ht="24">
      <c r="A77" s="31"/>
      <c r="B77" s="32" t="str">
        <f>SmtRes!I30</f>
        <v>101-1976</v>
      </c>
      <c r="C77" s="32" t="str">
        <f>SmtRes!K30</f>
        <v>Примеси волокнистых веществ</v>
      </c>
      <c r="D77" s="32" t="str">
        <f>SmtRes!O30</f>
        <v>кг</v>
      </c>
      <c r="E77" s="31">
        <f>SmtRes!Y30</f>
        <v>0.1</v>
      </c>
      <c r="F77" s="31">
        <f>SmtRes!Y30*Source!I27</f>
        <v>0.9500000000000001</v>
      </c>
      <c r="G77" s="31">
        <f>IF(SmtRes!AA30+SmtRes!AB30+SmtRes!AD30=0,"",ROUND((SmtRes!AA30+SmtRes!AB30+SmtRes!AD30),2))</f>
        <v>51.2</v>
      </c>
      <c r="H77" s="31">
        <f>IF(SmtRes!AA30+SmtRes!AB30+SmtRes!AD30=0,"",ROUND((SmtRes!AA30+SmtRes!AB30+SmtRes!AD30)*F77,2))</f>
        <v>48.64</v>
      </c>
      <c r="I77" s="31">
        <f>IF(SmtRes!AD30=0,"",ROUND(SmtRes!AD30*F77,2))</f>
      </c>
      <c r="J77" s="31">
        <f>IF(SmtRes!AB30=0,"",ROUND(SmtRes!AB30*F77,2))</f>
      </c>
      <c r="K77" s="31">
        <f>IF(SmtRes!AC30=0,"",ROUND(SmtRes!AC30*F77,2))</f>
      </c>
      <c r="L77" s="31">
        <f>IF(SmtRes!AA30=0,"",ROUND(SmtRes!AA30*F77,2))</f>
        <v>48.64</v>
      </c>
      <c r="M77" s="31"/>
      <c r="N77" s="31"/>
    </row>
    <row r="78" spans="1:14" s="18" customFormat="1" ht="12">
      <c r="A78" s="31"/>
      <c r="B78" s="32" t="str">
        <f>SmtRes!I31</f>
        <v>101-9923</v>
      </c>
      <c r="C78" s="32" t="str">
        <f>SmtRes!K31</f>
        <v>Шаблоны коньковые</v>
      </c>
      <c r="D78" s="32" t="str">
        <f>SmtRes!O31</f>
        <v>ШТ</v>
      </c>
      <c r="E78" s="31">
        <f>SmtRes!Y31</f>
        <v>20</v>
      </c>
      <c r="F78" s="31">
        <f>SmtRes!Y31*Source!I27</f>
        <v>190</v>
      </c>
      <c r="G78" s="31">
        <f>IF(SmtRes!AA31+SmtRes!AB31+SmtRes!AD31=0,"",ROUND((SmtRes!AA31+SmtRes!AB31+SmtRes!AD31),2))</f>
        <v>5.89</v>
      </c>
      <c r="H78" s="31">
        <f>IF(SmtRes!AA31+SmtRes!AB31+SmtRes!AD31=0,"",ROUND((SmtRes!AA31+SmtRes!AB31+SmtRes!AD31)*F78,2))</f>
        <v>1119.1</v>
      </c>
      <c r="I78" s="31">
        <f>IF(SmtRes!AD31=0,"",ROUND(SmtRes!AD31*F78,2))</f>
      </c>
      <c r="J78" s="31">
        <f>IF(SmtRes!AB31=0,"",ROUND(SmtRes!AB31*F78,2))</f>
      </c>
      <c r="K78" s="31">
        <f>IF(SmtRes!AC31=0,"",ROUND(SmtRes!AC31*F78,2))</f>
      </c>
      <c r="L78" s="31">
        <f>IF(SmtRes!AA31=0,"",ROUND(SmtRes!AA31*F78,2))</f>
        <v>1119.1</v>
      </c>
      <c r="M78" s="31"/>
      <c r="N78" s="31"/>
    </row>
    <row r="79" spans="1:14" s="18" customFormat="1" ht="36">
      <c r="A79" s="29"/>
      <c r="B79" s="30" t="str">
        <f>SmtRes!I32</f>
        <v>402-9071</v>
      </c>
      <c r="C79" s="30" t="str">
        <f>SmtRes!K32</f>
        <v>Раствор готовый кладочный тяжелый цементный</v>
      </c>
      <c r="D79" s="30" t="str">
        <f>SmtRes!O32</f>
        <v>м3</v>
      </c>
      <c r="E79" s="29">
        <f>SmtRes!Y32</f>
        <v>0.02</v>
      </c>
      <c r="F79" s="29">
        <f>SmtRes!Y32*Source!I27</f>
        <v>0.19</v>
      </c>
      <c r="G79" s="29">
        <f>IF(SmtRes!AA32+SmtRes!AB32+SmtRes!AD32=0,"",ROUND((SmtRes!AA32+SmtRes!AB32+SmtRes!AD32),2))</f>
        <v>424.88</v>
      </c>
      <c r="H79" s="29">
        <f>IF(SmtRes!AA32+SmtRes!AB32+SmtRes!AD32=0,"",ROUND((SmtRes!AA32+SmtRes!AB32+SmtRes!AD32)*F79,2))</f>
        <v>80.73</v>
      </c>
      <c r="I79" s="29">
        <f>IF(SmtRes!AD32=0,"",ROUND(SmtRes!AD32*F79,2))</f>
      </c>
      <c r="J79" s="29">
        <f>IF(SmtRes!AB32=0,"",ROUND(SmtRes!AB32*F79,2))</f>
      </c>
      <c r="K79" s="29">
        <f>IF(SmtRes!AC32=0,"",ROUND(SmtRes!AC32*F79,2))</f>
      </c>
      <c r="L79" s="29">
        <f>IF(SmtRes!AA32=0,"",ROUND(SmtRes!AA32*F79,2))</f>
        <v>80.73</v>
      </c>
      <c r="M79" s="29"/>
      <c r="N79" s="29"/>
    </row>
    <row r="80" spans="1:14" ht="51">
      <c r="A80" s="21">
        <f>Source!E28</f>
        <v>5</v>
      </c>
      <c r="B80" s="22" t="str">
        <f>Source!BJ28</f>
        <v>ТЕРр Ульяновской обл.,сб.53,поз.7-1</v>
      </c>
      <c r="C80" s="22" t="str">
        <f>Source!G28</f>
        <v>Смена отдельных досок чистой наружной обшивки стен</v>
      </c>
      <c r="D80" s="22" t="str">
        <f>Source!H28</f>
        <v>100 м</v>
      </c>
      <c r="E80" s="23"/>
      <c r="F80" s="23">
        <f>Source!I28</f>
        <v>0.6</v>
      </c>
      <c r="G80" s="24">
        <f>IF(Source!AB28=0,"",ROUND(Source!AB28,2))</f>
        <v>784.26</v>
      </c>
      <c r="H80" s="24">
        <f>IF(Source!O28=0,"",ROUND(Source!O28,2))</f>
        <v>470.55</v>
      </c>
      <c r="I80" s="24">
        <f>IF(Source!S28=0,"",ROUND(Source!S28,2))</f>
        <v>166.97</v>
      </c>
      <c r="J80" s="24">
        <f>IF(Source!Q28=0,"",ROUND(Source!Q28,2))</f>
        <v>6.56</v>
      </c>
      <c r="K80" s="24">
        <f>IF(Source!R28=0,"",ROUND(Source!R28,2))</f>
        <v>1.28</v>
      </c>
      <c r="L80" s="24">
        <f>IF(Source!P28=0,"",ROUND(Source!P28,2))</f>
        <v>297.02</v>
      </c>
      <c r="M80" s="24">
        <f>IF(Source!U28=0,"",ROUND(Source!U28,2))</f>
        <v>19.1</v>
      </c>
      <c r="N80" s="24">
        <f>IF(Source!V28=0,"",ROUND(Source!V28,2))</f>
        <v>0.11</v>
      </c>
    </row>
    <row r="81" spans="1:14" s="16" customFormat="1" ht="36">
      <c r="A81" s="25"/>
      <c r="B81" s="26" t="str">
        <f>SmtRes!I33</f>
        <v>1-3.2-73</v>
      </c>
      <c r="C81" s="26" t="str">
        <f>SmtRes!K33</f>
        <v>Затраты труда рабочих-строителей (средний разряд 3.2)</v>
      </c>
      <c r="D81" s="26" t="str">
        <f>SmtRes!O33</f>
        <v>чел.ч</v>
      </c>
      <c r="E81" s="25">
        <f>SmtRes!Y33</f>
        <v>31.84</v>
      </c>
      <c r="F81" s="25">
        <f>SmtRes!Y33*Source!I28</f>
        <v>19.104</v>
      </c>
      <c r="G81" s="25">
        <f>IF(SmtRes!AA33+SmtRes!AB33+SmtRes!AD33=0,"",ROUND((SmtRes!AA33+SmtRes!AB33+SmtRes!AD33),2))</f>
        <v>8.74</v>
      </c>
      <c r="H81" s="25">
        <f>IF(SmtRes!AA33+SmtRes!AB33+SmtRes!AD33=0,"",ROUND((SmtRes!AA33+SmtRes!AB33+SmtRes!AD33)*F81,2))</f>
        <v>166.97</v>
      </c>
      <c r="I81" s="25">
        <f>IF(SmtRes!AD33=0,"",ROUND(SmtRes!AD33*F81,2))</f>
        <v>166.97</v>
      </c>
      <c r="J81" s="25">
        <f>IF(SmtRes!AB33=0,"",ROUND(SmtRes!AB33*F81,2))</f>
      </c>
      <c r="K81" s="25">
        <f>IF(SmtRes!AC33=0,"",ROUND(SmtRes!AC33*F81,2))</f>
      </c>
      <c r="L81" s="25">
        <f>IF(SmtRes!AA33=0,"",ROUND(SmtRes!AA33*F81,2))</f>
      </c>
      <c r="M81" s="25"/>
      <c r="N81" s="25"/>
    </row>
    <row r="82" spans="1:14" s="16" customFormat="1" ht="24">
      <c r="A82" s="25"/>
      <c r="B82" s="26" t="str">
        <f>SmtRes!I34</f>
        <v>2</v>
      </c>
      <c r="C82" s="26" t="str">
        <f>SmtRes!K34</f>
        <v>Затраты труда машинистов</v>
      </c>
      <c r="D82" s="26" t="str">
        <f>SmtRes!O34</f>
        <v>чел.час</v>
      </c>
      <c r="E82" s="25">
        <f>SmtRes!Y34</f>
        <v>0.18</v>
      </c>
      <c r="F82" s="25">
        <f>SmtRes!Y34*Source!I28</f>
        <v>0.108</v>
      </c>
      <c r="G82" s="25">
        <f>IF(SmtRes!AA34+SmtRes!AB34+SmtRes!AD34=0,"",ROUND((SmtRes!AA34+SmtRes!AB34+SmtRes!AD34),2))</f>
      </c>
      <c r="H82" s="25">
        <f>IF(SmtRes!AA34+SmtRes!AB34+SmtRes!AD34=0,"",ROUND((SmtRes!AA34+SmtRes!AB34+SmtRes!AD34)*F82,2))</f>
      </c>
      <c r="I82" s="25">
        <f>IF(SmtRes!AD34=0,"",ROUND(SmtRes!AD34*F82,2))</f>
      </c>
      <c r="J82" s="25">
        <f>IF(SmtRes!AB34=0,"",ROUND(SmtRes!AB34*F82,2))</f>
      </c>
      <c r="K82" s="25">
        <f>IF(SmtRes!AC34=0,"",ROUND(SmtRes!AC34*F82,2))</f>
      </c>
      <c r="L82" s="25">
        <f>IF(SmtRes!AA34=0,"",ROUND(SmtRes!AA34*F82,2))</f>
      </c>
      <c r="M82" s="25"/>
      <c r="N82" s="25"/>
    </row>
    <row r="83" spans="1:14" ht="12.75">
      <c r="A83" s="52" t="s">
        <v>354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14" s="17" customFormat="1" ht="24">
      <c r="A84" s="27"/>
      <c r="B84" s="28" t="str">
        <f>SmtRes!I35</f>
        <v>400001</v>
      </c>
      <c r="C84" s="28" t="str">
        <f>SmtRes!K35</f>
        <v>Автомобили бортовые грузоподъемностью до 5 т</v>
      </c>
      <c r="D84" s="28" t="str">
        <f>SmtRes!O35</f>
        <v>маш.-ч</v>
      </c>
      <c r="E84" s="27">
        <f>SmtRes!Y35</f>
        <v>0.18</v>
      </c>
      <c r="F84" s="27">
        <f>SmtRes!Y35*Source!I28</f>
        <v>0.108</v>
      </c>
      <c r="G84" s="27">
        <f>IF(SmtRes!AA35+SmtRes!AB35+SmtRes!AD35=0,"",ROUND((SmtRes!AA35+SmtRes!AB35+SmtRes!AD35),2))</f>
        <v>60.77</v>
      </c>
      <c r="H84" s="27">
        <f>IF(SmtRes!AA35+SmtRes!AB35+SmtRes!AD35=0,"",ROUND((SmtRes!AA35+SmtRes!AB35+SmtRes!AD35)*F84,2))</f>
        <v>6.56</v>
      </c>
      <c r="I84" s="27">
        <f>IF(SmtRes!AD35=0,"",ROUND(SmtRes!AD35*F84,2))</f>
      </c>
      <c r="J84" s="27">
        <f>IF(SmtRes!AB35=0,"",ROUND(SmtRes!AB35*F84,2))</f>
        <v>6.56</v>
      </c>
      <c r="K84" s="27">
        <f>IF(SmtRes!AC35=0,"",ROUND(SmtRes!AC35*F84,2))</f>
      </c>
      <c r="L84" s="27">
        <f>IF(SmtRes!AA35=0,"",ROUND(SmtRes!AA35*F84,2))</f>
      </c>
      <c r="M84" s="27"/>
      <c r="N84" s="27"/>
    </row>
    <row r="85" spans="1:14" ht="12.75">
      <c r="A85" s="52" t="s">
        <v>355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4" s="18" customFormat="1" ht="12">
      <c r="A86" s="31"/>
      <c r="B86" s="32" t="str">
        <f>SmtRes!I36</f>
        <v>101-1805</v>
      </c>
      <c r="C86" s="32" t="str">
        <f>SmtRes!K36</f>
        <v>Гвозди строительные</v>
      </c>
      <c r="D86" s="32" t="str">
        <f>SmtRes!O36</f>
        <v>т</v>
      </c>
      <c r="E86" s="31">
        <f>SmtRes!Y36</f>
        <v>0.002</v>
      </c>
      <c r="F86" s="31">
        <f>SmtRes!Y36*Source!I28</f>
        <v>0.0012</v>
      </c>
      <c r="G86" s="31">
        <f>IF(SmtRes!AA36+SmtRes!AB36+SmtRes!AD36=0,"",ROUND((SmtRes!AA36+SmtRes!AB36+SmtRes!AD36),2))</f>
        <v>7696.95</v>
      </c>
      <c r="H86" s="31">
        <f>IF(SmtRes!AA36+SmtRes!AB36+SmtRes!AD36=0,"",ROUND((SmtRes!AA36+SmtRes!AB36+SmtRes!AD36)*F86,2))</f>
        <v>9.24</v>
      </c>
      <c r="I86" s="31">
        <f>IF(SmtRes!AD36=0,"",ROUND(SmtRes!AD36*F86,2))</f>
      </c>
      <c r="J86" s="31">
        <f>IF(SmtRes!AB36=0,"",ROUND(SmtRes!AB36*F86,2))</f>
      </c>
      <c r="K86" s="31">
        <f>IF(SmtRes!AC36=0,"",ROUND(SmtRes!AC36*F86,2))</f>
      </c>
      <c r="L86" s="31">
        <f>IF(SmtRes!AA36=0,"",ROUND(SmtRes!AA36*F86,2))</f>
        <v>9.24</v>
      </c>
      <c r="M86" s="31"/>
      <c r="N86" s="31"/>
    </row>
    <row r="87" spans="1:14" s="18" customFormat="1" ht="60">
      <c r="A87" s="31"/>
      <c r="B87" s="32" t="str">
        <f>SmtRes!I37</f>
        <v>102-0112</v>
      </c>
      <c r="C87" s="32" t="str">
        <f>SmtRes!K37</f>
        <v>Пиломатериалы хвойных пород.Доски обрезные длиной 2-3.75 м, шириной 75-150 мм, толщиной 25 мм   II сорта</v>
      </c>
      <c r="D87" s="32" t="str">
        <f>SmtRes!O37</f>
        <v>м3</v>
      </c>
      <c r="E87" s="31">
        <f>SmtRes!Y37</f>
        <v>0.363</v>
      </c>
      <c r="F87" s="31">
        <f>SmtRes!Y37*Source!I28</f>
        <v>0.2178</v>
      </c>
      <c r="G87" s="31">
        <f>IF(SmtRes!AA37+SmtRes!AB37+SmtRes!AD37=0,"",ROUND((SmtRes!AA37+SmtRes!AB37+SmtRes!AD37),2))</f>
        <v>1321.36</v>
      </c>
      <c r="H87" s="31">
        <f>IF(SmtRes!AA37+SmtRes!AB37+SmtRes!AD37=0,"",ROUND((SmtRes!AA37+SmtRes!AB37+SmtRes!AD37)*F87,2))</f>
        <v>287.79</v>
      </c>
      <c r="I87" s="31">
        <f>IF(SmtRes!AD37=0,"",ROUND(SmtRes!AD37*F87,2))</f>
      </c>
      <c r="J87" s="31">
        <f>IF(SmtRes!AB37=0,"",ROUND(SmtRes!AB37*F87,2))</f>
      </c>
      <c r="K87" s="31">
        <f>IF(SmtRes!AC37=0,"",ROUND(SmtRes!AC37*F87,2))</f>
      </c>
      <c r="L87" s="31">
        <f>IF(SmtRes!AA37=0,"",ROUND(SmtRes!AA37*F87,2))</f>
        <v>287.79</v>
      </c>
      <c r="M87" s="31"/>
      <c r="N87" s="31"/>
    </row>
    <row r="88" spans="1:14" s="18" customFormat="1" ht="48">
      <c r="A88" s="29"/>
      <c r="B88" s="30" t="str">
        <f>CONCATENATE(Source!F29,"   К=ЭММ)*1,25, ЗПМ)*1,25, ОЗП)*1,15")</f>
        <v>27-04-001-4   К=ЭММ)*1,25, ЗПМ)*1,25, ОЗП)*1,15</v>
      </c>
      <c r="C88" s="30" t="str">
        <f>SmtRes!K38</f>
        <v>Строительный мусор</v>
      </c>
      <c r="D88" s="30" t="str">
        <f>SmtRes!O38</f>
        <v>т</v>
      </c>
      <c r="E88" s="29">
        <f>SmtRes!Y38</f>
        <v>0.25</v>
      </c>
      <c r="F88" s="29">
        <f>SmtRes!Y38*Source!I28</f>
        <v>0.15</v>
      </c>
      <c r="G88" s="29">
        <f>IF(SmtRes!AA38+SmtRes!AB38+SmtRes!AD38=0,"",ROUND((SmtRes!AA38+SmtRes!AB38+SmtRes!AD38),2))</f>
      </c>
      <c r="H88" s="29">
        <f>IF(SmtRes!AA38+SmtRes!AB38+SmtRes!AD38=0,"",ROUND((SmtRes!AA38+SmtRes!AB38+SmtRes!AD38)*F88,2))</f>
      </c>
      <c r="I88" s="29">
        <f>IF(SmtRes!AD38=0,"",ROUND(SmtRes!AD38*F88,2))</f>
      </c>
      <c r="J88" s="29">
        <f>IF(SmtRes!AB38=0,"",ROUND(SmtRes!AB38*F88,2))</f>
      </c>
      <c r="K88" s="29">
        <f>IF(SmtRes!AC38=0,"",ROUND(SmtRes!AC38*F88,2))</f>
      </c>
      <c r="L88" s="29">
        <f>IF(SmtRes!AA38=0,"",ROUND(SmtRes!AA38*F88,2))</f>
      </c>
      <c r="M88" s="29"/>
      <c r="N88" s="29"/>
    </row>
    <row r="89" spans="1:14" ht="63.75">
      <c r="A89" s="21">
        <f>Source!E29</f>
        <v>6</v>
      </c>
      <c r="B89" s="22" t="str">
        <f>Source!BJ29</f>
        <v>ТЕР Ульяновской обл.сб.27,гл.04,табл.001,поз.4</v>
      </c>
      <c r="C89" s="22" t="str">
        <f>Source!G29</f>
        <v>Устройство подстилающих и выравнивающих слоев оснований: из щебня</v>
      </c>
      <c r="D89" s="22" t="str">
        <f>Source!H29</f>
        <v>100 м3</v>
      </c>
      <c r="E89" s="23"/>
      <c r="F89" s="23">
        <f>Source!I29</f>
        <v>0.1</v>
      </c>
      <c r="G89" s="24">
        <f>IF(Source!AB29=0,"",ROUND(Source!AB29,2))</f>
        <v>4792.15</v>
      </c>
      <c r="H89" s="24">
        <f>IF(Source!O29=0,"",ROUND(Source!O29,2))</f>
        <v>479.22</v>
      </c>
      <c r="I89" s="24">
        <f>IF(Source!S29=0,"",ROUND(Source!S29,2))</f>
        <v>22.45</v>
      </c>
      <c r="J89" s="24">
        <f>IF(Source!Q29=0,"",ROUND(Source!Q29,2))</f>
        <v>454.53</v>
      </c>
      <c r="K89" s="24">
        <f>IF(Source!R29=0,"",ROUND(Source!R29,2))</f>
        <v>30.41</v>
      </c>
      <c r="L89" s="24">
        <f>IF(Source!P29=0,"",ROUND(Source!P29,2))</f>
        <v>2.24</v>
      </c>
      <c r="M89" s="24">
        <f>IF(Source!U29=0,"",ROUND(Source!U29,2))</f>
        <v>2.78</v>
      </c>
      <c r="N89" s="24">
        <f>IF(Source!V29=0,"",ROUND(Source!V29,2))</f>
        <v>2.58</v>
      </c>
    </row>
    <row r="90" spans="1:14" s="16" customFormat="1" ht="36">
      <c r="A90" s="25"/>
      <c r="B90" s="26" t="str">
        <f>SmtRes!I39</f>
        <v>1-2.4-73</v>
      </c>
      <c r="C90" s="26" t="str">
        <f>SmtRes!K39</f>
        <v>Затраты труда рабочих-строителей (средний разряд 2.4)</v>
      </c>
      <c r="D90" s="26" t="str">
        <f>SmtRes!O39</f>
        <v>чел.ч</v>
      </c>
      <c r="E90" s="25">
        <f>SmtRes!Y39</f>
        <v>27.8185</v>
      </c>
      <c r="F90" s="25">
        <f>SmtRes!Y39*Source!I29</f>
        <v>2.7818500000000004</v>
      </c>
      <c r="G90" s="25">
        <f>IF(SmtRes!AA39+SmtRes!AB39+SmtRes!AD39=0,"",ROUND((SmtRes!AA39+SmtRes!AB39+SmtRes!AD39),2))</f>
        <v>8.07</v>
      </c>
      <c r="H90" s="25">
        <f>IF(SmtRes!AA39+SmtRes!AB39+SmtRes!AD39=0,"",ROUND((SmtRes!AA39+SmtRes!AB39+SmtRes!AD39)*F90,2))</f>
        <v>22.45</v>
      </c>
      <c r="I90" s="25">
        <f>IF(SmtRes!AD39=0,"",ROUND(SmtRes!AD39*F90,2))</f>
        <v>22.45</v>
      </c>
      <c r="J90" s="25">
        <f>IF(SmtRes!AB39=0,"",ROUND(SmtRes!AB39*F90,2))</f>
      </c>
      <c r="K90" s="25">
        <f>IF(SmtRes!AC39=0,"",ROUND(SmtRes!AC39*F90,2))</f>
      </c>
      <c r="L90" s="25">
        <f>IF(SmtRes!AA39=0,"",ROUND(SmtRes!AA39*F90,2))</f>
      </c>
      <c r="M90" s="25"/>
      <c r="N90" s="25"/>
    </row>
    <row r="91" spans="1:14" s="16" customFormat="1" ht="24">
      <c r="A91" s="25"/>
      <c r="B91" s="26" t="str">
        <f>SmtRes!I40</f>
        <v>2</v>
      </c>
      <c r="C91" s="26" t="str">
        <f>SmtRes!K40</f>
        <v>Затраты труда машинистов</v>
      </c>
      <c r="D91" s="26" t="str">
        <f>SmtRes!O40</f>
        <v>чел.час</v>
      </c>
      <c r="E91" s="25">
        <f>SmtRes!Y40</f>
        <v>25.75</v>
      </c>
      <c r="F91" s="25">
        <f>SmtRes!Y40*Source!I29</f>
        <v>2.575</v>
      </c>
      <c r="G91" s="25">
        <f>IF(SmtRes!AA40+SmtRes!AB40+SmtRes!AD40=0,"",ROUND((SmtRes!AA40+SmtRes!AB40+SmtRes!AD40),2))</f>
      </c>
      <c r="H91" s="25">
        <f>IF(SmtRes!AA40+SmtRes!AB40+SmtRes!AD40=0,"",ROUND((SmtRes!AA40+SmtRes!AB40+SmtRes!AD40)*F91,2))</f>
      </c>
      <c r="I91" s="25">
        <f>IF(SmtRes!AD40=0,"",ROUND(SmtRes!AD40*F91,2))</f>
      </c>
      <c r="J91" s="25">
        <f>IF(SmtRes!AB40=0,"",ROUND(SmtRes!AB40*F91,2))</f>
      </c>
      <c r="K91" s="25">
        <f>IF(SmtRes!AC40=0,"",ROUND(SmtRes!AC40*F91,2))</f>
      </c>
      <c r="L91" s="25">
        <f>IF(SmtRes!AA40=0,"",ROUND(SmtRes!AA40*F91,2))</f>
      </c>
      <c r="M91" s="25"/>
      <c r="N91" s="25"/>
    </row>
    <row r="92" spans="1:14" ht="12.75">
      <c r="A92" s="52" t="s">
        <v>354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s="17" customFormat="1" ht="12">
      <c r="A93" s="27"/>
      <c r="B93" s="28" t="str">
        <f>SmtRes!I41</f>
        <v>030101</v>
      </c>
      <c r="C93" s="28" t="str">
        <f>SmtRes!K41</f>
        <v>Автопогрузчики 5 т</v>
      </c>
      <c r="D93" s="28" t="str">
        <f>SmtRes!O41</f>
        <v>маш.-ч</v>
      </c>
      <c r="E93" s="27">
        <f>SmtRes!Y41</f>
        <v>3.075</v>
      </c>
      <c r="F93" s="27">
        <f>SmtRes!Y41*Source!I29</f>
        <v>0.30750000000000005</v>
      </c>
      <c r="G93" s="27">
        <f>IF(SmtRes!AA41+SmtRes!AB41+SmtRes!AD41=0,"",ROUND((SmtRes!AA41+SmtRes!AB41+SmtRes!AD41),2))</f>
        <v>89.34</v>
      </c>
      <c r="H93" s="27">
        <f>IF(SmtRes!AA41+SmtRes!AB41+SmtRes!AD41=0,"",ROUND((SmtRes!AA41+SmtRes!AB41+SmtRes!AD41)*F93,2))</f>
        <v>27.47</v>
      </c>
      <c r="I93" s="27">
        <f>IF(SmtRes!AD41=0,"",ROUND(SmtRes!AD41*F93,2))</f>
      </c>
      <c r="J93" s="27">
        <f>IF(SmtRes!AB41=0,"",ROUND(SmtRes!AB41*F93,2))</f>
        <v>27.47</v>
      </c>
      <c r="K93" s="27">
        <f>IF(SmtRes!AC41=0,"",ROUND(SmtRes!AC41*F93,2))</f>
      </c>
      <c r="L93" s="27">
        <f>IF(SmtRes!AA41=0,"",ROUND(SmtRes!AA41*F93,2))</f>
      </c>
      <c r="M93" s="27"/>
      <c r="N93" s="27"/>
    </row>
    <row r="94" spans="1:14" s="17" customFormat="1" ht="60">
      <c r="A94" s="27"/>
      <c r="B94" s="28" t="str">
        <f>SmtRes!I42</f>
        <v>070149</v>
      </c>
      <c r="C94" s="28" t="str">
        <f>SmtRes!K42</f>
        <v>Бульдозеры при работе на других видах строительства (кроме водохозяйственного) 79 (108) кВт (л.с.)</v>
      </c>
      <c r="D94" s="28" t="str">
        <f>SmtRes!O42</f>
        <v>маш.-ч</v>
      </c>
      <c r="E94" s="27">
        <f>SmtRes!Y42</f>
        <v>3.2375</v>
      </c>
      <c r="F94" s="27">
        <f>SmtRes!Y42*Source!I29</f>
        <v>0.32375</v>
      </c>
      <c r="G94" s="27">
        <f>IF(SmtRes!AA42+SmtRes!AB42+SmtRes!AD42=0,"",ROUND((SmtRes!AA42+SmtRes!AB42+SmtRes!AD42),2))</f>
        <v>107.72</v>
      </c>
      <c r="H94" s="27">
        <f>IF(SmtRes!AA42+SmtRes!AB42+SmtRes!AD42=0,"",ROUND((SmtRes!AA42+SmtRes!AB42+SmtRes!AD42)*F94,2))</f>
        <v>34.87</v>
      </c>
      <c r="I94" s="27">
        <f>IF(SmtRes!AD42=0,"",ROUND(SmtRes!AD42*F94,2))</f>
      </c>
      <c r="J94" s="27">
        <f>IF(SmtRes!AB42=0,"",ROUND(SmtRes!AB42*F94,2))</f>
        <v>34.87</v>
      </c>
      <c r="K94" s="27">
        <f>IF(SmtRes!AC42=0,"",ROUND(SmtRes!AC42*F94,2))</f>
      </c>
      <c r="L94" s="27">
        <f>IF(SmtRes!AA42=0,"",ROUND(SmtRes!AA42*F94,2))</f>
      </c>
      <c r="M94" s="27"/>
      <c r="N94" s="27"/>
    </row>
    <row r="95" spans="1:14" s="17" customFormat="1" ht="24">
      <c r="A95" s="27"/>
      <c r="B95" s="28" t="str">
        <f>SmtRes!I43</f>
        <v>120202</v>
      </c>
      <c r="C95" s="28" t="str">
        <f>SmtRes!K43</f>
        <v>Автогрейдеры среднего типа 99 (135) кВт (л.с.)</v>
      </c>
      <c r="D95" s="28" t="str">
        <f>SmtRes!O43</f>
        <v>маш.ч</v>
      </c>
      <c r="E95" s="27">
        <f>SmtRes!Y43</f>
        <v>2.875</v>
      </c>
      <c r="F95" s="27">
        <f>SmtRes!Y43*Source!I29</f>
        <v>0.28750000000000003</v>
      </c>
      <c r="G95" s="27">
        <f>IF(SmtRes!AA43+SmtRes!AB43+SmtRes!AD43=0,"",ROUND((SmtRes!AA43+SmtRes!AB43+SmtRes!AD43),2))</f>
        <v>142.86</v>
      </c>
      <c r="H95" s="27">
        <f>IF(SmtRes!AA43+SmtRes!AB43+SmtRes!AD43=0,"",ROUND((SmtRes!AA43+SmtRes!AB43+SmtRes!AD43)*F95,2))</f>
        <v>41.07</v>
      </c>
      <c r="I95" s="27">
        <f>IF(SmtRes!AD43=0,"",ROUND(SmtRes!AD43*F95,2))</f>
      </c>
      <c r="J95" s="27">
        <f>IF(SmtRes!AB43=0,"",ROUND(SmtRes!AB43*F95,2))</f>
        <v>41.07</v>
      </c>
      <c r="K95" s="27">
        <f>IF(SmtRes!AC43=0,"",ROUND(SmtRes!AC43*F95,2))</f>
      </c>
      <c r="L95" s="27">
        <f>IF(SmtRes!AA43=0,"",ROUND(SmtRes!AA43*F95,2))</f>
      </c>
      <c r="M95" s="27"/>
      <c r="N95" s="27"/>
    </row>
    <row r="96" spans="1:14" s="17" customFormat="1" ht="36">
      <c r="A96" s="27"/>
      <c r="B96" s="28" t="str">
        <f>SmtRes!I44</f>
        <v>120911</v>
      </c>
      <c r="C96" s="28" t="str">
        <f>SmtRes!K44</f>
        <v>Катки дорожные самоходные на пневмоколесном ходу 30 т</v>
      </c>
      <c r="D96" s="28" t="str">
        <f>SmtRes!O44</f>
        <v>маш.ч</v>
      </c>
      <c r="E96" s="27">
        <f>SmtRes!Y44</f>
        <v>15.2625</v>
      </c>
      <c r="F96" s="27">
        <f>SmtRes!Y44*Source!I29</f>
        <v>1.52625</v>
      </c>
      <c r="G96" s="27">
        <f>IF(SmtRes!AA44+SmtRes!AB44+SmtRes!AD44=0,"",ROUND((SmtRes!AA44+SmtRes!AB44+SmtRes!AD44),2))</f>
        <v>220.09</v>
      </c>
      <c r="H96" s="27">
        <f>IF(SmtRes!AA44+SmtRes!AB44+SmtRes!AD44=0,"",ROUND((SmtRes!AA44+SmtRes!AB44+SmtRes!AD44)*F96,2))</f>
        <v>335.91</v>
      </c>
      <c r="I96" s="27">
        <f>IF(SmtRes!AD44=0,"",ROUND(SmtRes!AD44*F96,2))</f>
      </c>
      <c r="J96" s="27">
        <f>IF(SmtRes!AB44=0,"",ROUND(SmtRes!AB44*F96,2))</f>
        <v>335.91</v>
      </c>
      <c r="K96" s="27">
        <f>IF(SmtRes!AC44=0,"",ROUND(SmtRes!AC44*F96,2))</f>
      </c>
      <c r="L96" s="27">
        <f>IF(SmtRes!AA44=0,"",ROUND(SmtRes!AA44*F96,2))</f>
      </c>
      <c r="M96" s="27"/>
      <c r="N96" s="27"/>
    </row>
    <row r="97" spans="1:14" s="17" customFormat="1" ht="24">
      <c r="A97" s="27"/>
      <c r="B97" s="28" t="str">
        <f>SmtRes!I45</f>
        <v>121601</v>
      </c>
      <c r="C97" s="28" t="str">
        <f>SmtRes!K45</f>
        <v>Машины поливомоечные 6000 л</v>
      </c>
      <c r="D97" s="28" t="str">
        <f>SmtRes!O45</f>
        <v>маш.ч</v>
      </c>
      <c r="E97" s="27">
        <f>SmtRes!Y45</f>
        <v>1.3</v>
      </c>
      <c r="F97" s="27">
        <f>SmtRes!Y45*Source!I29</f>
        <v>0.13</v>
      </c>
      <c r="G97" s="27">
        <f>IF(SmtRes!AA45+SmtRes!AB45+SmtRes!AD45=0,"",ROUND((SmtRes!AA45+SmtRes!AB45+SmtRes!AD45),2))</f>
        <v>116.88</v>
      </c>
      <c r="H97" s="27">
        <f>IF(SmtRes!AA45+SmtRes!AB45+SmtRes!AD45=0,"",ROUND((SmtRes!AA45+SmtRes!AB45+SmtRes!AD45)*F97,2))</f>
        <v>15.19</v>
      </c>
      <c r="I97" s="27">
        <f>IF(SmtRes!AD45=0,"",ROUND(SmtRes!AD45*F97,2))</f>
      </c>
      <c r="J97" s="27">
        <f>IF(SmtRes!AB45=0,"",ROUND(SmtRes!AB45*F97,2))</f>
        <v>15.19</v>
      </c>
      <c r="K97" s="27">
        <f>IF(SmtRes!AC45=0,"",ROUND(SmtRes!AC45*F97,2))</f>
      </c>
      <c r="L97" s="27">
        <f>IF(SmtRes!AA45=0,"",ROUND(SmtRes!AA45*F97,2))</f>
      </c>
      <c r="M97" s="27"/>
      <c r="N97" s="27"/>
    </row>
    <row r="98" spans="1:14" ht="12.75">
      <c r="A98" s="52" t="s">
        <v>355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s="18" customFormat="1" ht="48">
      <c r="A99" s="31"/>
      <c r="B99" s="32" t="str">
        <f>SmtRes!I46</f>
        <v>408-0023</v>
      </c>
      <c r="C99" s="32" t="str">
        <f>SmtRes!K46</f>
        <v>Щебень из природного камня для строительных работ марка 400, фракция, мм:20-40</v>
      </c>
      <c r="D99" s="32" t="str">
        <f>SmtRes!O46</f>
        <v>м3</v>
      </c>
      <c r="E99" s="31">
        <f>SmtRes!Y46</f>
        <v>100</v>
      </c>
      <c r="F99" s="31">
        <f>SmtRes!Y46*Source!I29</f>
        <v>10</v>
      </c>
      <c r="G99" s="31">
        <f>IF(SmtRes!AA46+SmtRes!AB46+SmtRes!AD46=0,"",ROUND((SmtRes!AA46+SmtRes!AB46+SmtRes!AD46),2))</f>
        <v>161.76</v>
      </c>
      <c r="H99" s="31">
        <f>IF(SmtRes!AA46+SmtRes!AB46+SmtRes!AD46=0,"",ROUND((SmtRes!AA46+SmtRes!AB46+SmtRes!AD46)*F99,2))</f>
        <v>1617.6</v>
      </c>
      <c r="I99" s="31">
        <f>IF(SmtRes!AD46=0,"",ROUND(SmtRes!AD46*F99,2))</f>
      </c>
      <c r="J99" s="31">
        <f>IF(SmtRes!AB46=0,"",ROUND(SmtRes!AB46*F99,2))</f>
      </c>
      <c r="K99" s="31">
        <f>IF(SmtRes!AC46=0,"",ROUND(SmtRes!AC46*F99,2))</f>
      </c>
      <c r="L99" s="31">
        <f>IF(SmtRes!AA46=0,"",ROUND(SmtRes!AA46*F99,2))</f>
        <v>1617.6</v>
      </c>
      <c r="M99" s="31"/>
      <c r="N99" s="31"/>
    </row>
    <row r="100" spans="1:14" s="18" customFormat="1" ht="12">
      <c r="A100" s="29"/>
      <c r="B100" s="30" t="str">
        <f>SmtRes!I47</f>
        <v>411-0001</v>
      </c>
      <c r="C100" s="30" t="str">
        <f>SmtRes!K47</f>
        <v>Вода</v>
      </c>
      <c r="D100" s="30" t="str">
        <f>SmtRes!O47</f>
        <v>м3</v>
      </c>
      <c r="E100" s="29">
        <f>SmtRes!Y47</f>
        <v>7</v>
      </c>
      <c r="F100" s="29">
        <f>SmtRes!Y47*Source!I29</f>
        <v>0.7000000000000001</v>
      </c>
      <c r="G100" s="29">
        <f>IF(SmtRes!AA47+SmtRes!AB47+SmtRes!AD47=0,"",ROUND((SmtRes!AA47+SmtRes!AB47+SmtRes!AD47),2))</f>
        <v>3.2</v>
      </c>
      <c r="H100" s="29">
        <f>IF(SmtRes!AA47+SmtRes!AB47+SmtRes!AD47=0,"",ROUND((SmtRes!AA47+SmtRes!AB47+SmtRes!AD47)*F100,2))</f>
        <v>2.24</v>
      </c>
      <c r="I100" s="29">
        <f>IF(SmtRes!AD47=0,"",ROUND(SmtRes!AD47*F100,2))</f>
      </c>
      <c r="J100" s="29">
        <f>IF(SmtRes!AB47=0,"",ROUND(SmtRes!AB47*F100,2))</f>
      </c>
      <c r="K100" s="29">
        <f>IF(SmtRes!AC47=0,"",ROUND(SmtRes!AC47*F100,2))</f>
      </c>
      <c r="L100" s="29">
        <f>IF(SmtRes!AA47=0,"",ROUND(SmtRes!AA47*F100,2))</f>
        <v>2.24</v>
      </c>
      <c r="M100" s="29"/>
      <c r="N100" s="29"/>
    </row>
    <row r="101" spans="1:14" ht="76.5">
      <c r="A101" s="21">
        <f>Source!E31</f>
        <v>7</v>
      </c>
      <c r="B101" s="22" t="str">
        <f>Source!BJ31</f>
        <v>ТЕРр Ульяновской обл.,сб.68,поз.10-2</v>
      </c>
      <c r="C101" s="22" t="str">
        <f>Source!G31</f>
        <v>Устройство выравнивающего слоя из асфальтобетонной смеси без применения укладчиков асфальтобетона</v>
      </c>
      <c r="D101" s="22" t="str">
        <f>Source!H31</f>
        <v>100 т</v>
      </c>
      <c r="E101" s="23"/>
      <c r="F101" s="23">
        <f>Source!I31</f>
        <v>0.2</v>
      </c>
      <c r="G101" s="24">
        <f>IF(Source!AB31=0,"",ROUND(Source!AB31,2))</f>
        <v>42828.26</v>
      </c>
      <c r="H101" s="24">
        <f>IF(Source!O31=0,"",ROUND(Source!O31,2))</f>
        <v>8565.65</v>
      </c>
      <c r="I101" s="24">
        <f>IF(Source!S31=0,"",ROUND(Source!S31,2))</f>
        <v>164.75</v>
      </c>
      <c r="J101" s="24">
        <f>IF(Source!Q31=0,"",ROUND(Source!Q31,2))</f>
        <v>618.57</v>
      </c>
      <c r="K101" s="24">
        <f>IF(Source!R31=0,"",ROUND(Source!R31,2))</f>
        <v>73.74</v>
      </c>
      <c r="L101" s="24">
        <f>IF(Source!P31=0,"",ROUND(Source!P31,2))</f>
        <v>7782.33</v>
      </c>
      <c r="M101" s="24">
        <f>IF(Source!U31=0,"",ROUND(Source!U31,2))</f>
        <v>17.14</v>
      </c>
      <c r="N101" s="24">
        <f>IF(Source!V31=0,"",ROUND(Source!V31,2))</f>
        <v>6.24</v>
      </c>
    </row>
    <row r="102" spans="1:14" s="16" customFormat="1" ht="36">
      <c r="A102" s="25"/>
      <c r="B102" s="26" t="str">
        <f>SmtRes!I48</f>
        <v>1-4.0-73</v>
      </c>
      <c r="C102" s="26" t="str">
        <f>SmtRes!K48</f>
        <v>Затраты труда рабочих-строителей (средний разряд 4.0)</v>
      </c>
      <c r="D102" s="26" t="str">
        <f>SmtRes!O48</f>
        <v>чел.ч</v>
      </c>
      <c r="E102" s="25">
        <f>SmtRes!Y48</f>
        <v>85.72</v>
      </c>
      <c r="F102" s="25">
        <f>SmtRes!Y48*Source!I31</f>
        <v>17.144000000000002</v>
      </c>
      <c r="G102" s="25">
        <f>IF(SmtRes!AA48+SmtRes!AB48+SmtRes!AD48=0,"",ROUND((SmtRes!AA48+SmtRes!AB48+SmtRes!AD48),2))</f>
        <v>9.61</v>
      </c>
      <c r="H102" s="25">
        <f>IF(SmtRes!AA48+SmtRes!AB48+SmtRes!AD48=0,"",ROUND((SmtRes!AA48+SmtRes!AB48+SmtRes!AD48)*F102,2))</f>
        <v>164.75</v>
      </c>
      <c r="I102" s="25">
        <f>IF(SmtRes!AD48=0,"",ROUND(SmtRes!AD48*F102,2))</f>
        <v>164.75</v>
      </c>
      <c r="J102" s="25">
        <f>IF(SmtRes!AB48=0,"",ROUND(SmtRes!AB48*F102,2))</f>
      </c>
      <c r="K102" s="25">
        <f>IF(SmtRes!AC48=0,"",ROUND(SmtRes!AC48*F102,2))</f>
      </c>
      <c r="L102" s="25">
        <f>IF(SmtRes!AA48=0,"",ROUND(SmtRes!AA48*F102,2))</f>
      </c>
      <c r="M102" s="25"/>
      <c r="N102" s="25"/>
    </row>
    <row r="103" spans="1:14" s="16" customFormat="1" ht="24">
      <c r="A103" s="25"/>
      <c r="B103" s="26" t="str">
        <f>SmtRes!I49</f>
        <v>2</v>
      </c>
      <c r="C103" s="26" t="str">
        <f>SmtRes!K49</f>
        <v>Затраты труда машинистов</v>
      </c>
      <c r="D103" s="26" t="str">
        <f>SmtRes!O49</f>
        <v>чел.час</v>
      </c>
      <c r="E103" s="25">
        <f>SmtRes!Y49</f>
        <v>31.22</v>
      </c>
      <c r="F103" s="25">
        <f>SmtRes!Y49*Source!I31</f>
        <v>6.244</v>
      </c>
      <c r="G103" s="25">
        <f>IF(SmtRes!AA49+SmtRes!AB49+SmtRes!AD49=0,"",ROUND((SmtRes!AA49+SmtRes!AB49+SmtRes!AD49),2))</f>
      </c>
      <c r="H103" s="25">
        <f>IF(SmtRes!AA49+SmtRes!AB49+SmtRes!AD49=0,"",ROUND((SmtRes!AA49+SmtRes!AB49+SmtRes!AD49)*F103,2))</f>
      </c>
      <c r="I103" s="25">
        <f>IF(SmtRes!AD49=0,"",ROUND(SmtRes!AD49*F103,2))</f>
      </c>
      <c r="J103" s="25">
        <f>IF(SmtRes!AB49=0,"",ROUND(SmtRes!AB49*F103,2))</f>
      </c>
      <c r="K103" s="25">
        <f>IF(SmtRes!AC49=0,"",ROUND(SmtRes!AC49*F103,2))</f>
      </c>
      <c r="L103" s="25">
        <f>IF(SmtRes!AA49=0,"",ROUND(SmtRes!AA49*F103,2))</f>
      </c>
      <c r="M103" s="25"/>
      <c r="N103" s="25"/>
    </row>
    <row r="104" spans="1:14" ht="12.75">
      <c r="A104" s="52" t="s">
        <v>354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s="17" customFormat="1" ht="24">
      <c r="A105" s="27"/>
      <c r="B105" s="28" t="str">
        <f>SmtRes!I50</f>
        <v>120906</v>
      </c>
      <c r="C105" s="28" t="str">
        <f>SmtRes!K50</f>
        <v>Катки дорожные самоходные гладкие 8 т</v>
      </c>
      <c r="D105" s="28" t="str">
        <f>SmtRes!O50</f>
        <v>маш.ч</v>
      </c>
      <c r="E105" s="27">
        <f>SmtRes!Y50</f>
        <v>11.74</v>
      </c>
      <c r="F105" s="27">
        <f>SmtRes!Y50*Source!I31</f>
        <v>2.3480000000000003</v>
      </c>
      <c r="G105" s="27">
        <f>IF(SmtRes!AA50+SmtRes!AB50+SmtRes!AD50=0,"",ROUND((SmtRes!AA50+SmtRes!AB50+SmtRes!AD50),2))</f>
        <v>85.93</v>
      </c>
      <c r="H105" s="27">
        <f>IF(SmtRes!AA50+SmtRes!AB50+SmtRes!AD50=0,"",ROUND((SmtRes!AA50+SmtRes!AB50+SmtRes!AD50)*F105,2))</f>
        <v>201.76</v>
      </c>
      <c r="I105" s="27">
        <f>IF(SmtRes!AD50=0,"",ROUND(SmtRes!AD50*F105,2))</f>
      </c>
      <c r="J105" s="27">
        <f>IF(SmtRes!AB50=0,"",ROUND(SmtRes!AB50*F105,2))</f>
        <v>201.76</v>
      </c>
      <c r="K105" s="27">
        <f>IF(SmtRes!AC50=0,"",ROUND(SmtRes!AC50*F105,2))</f>
      </c>
      <c r="L105" s="27">
        <f>IF(SmtRes!AA50=0,"",ROUND(SmtRes!AA50*F105,2))</f>
      </c>
      <c r="M105" s="27"/>
      <c r="N105" s="27"/>
    </row>
    <row r="106" spans="1:14" s="17" customFormat="1" ht="24">
      <c r="A106" s="27"/>
      <c r="B106" s="28" t="str">
        <f>SmtRes!I51</f>
        <v>120907</v>
      </c>
      <c r="C106" s="28" t="str">
        <f>SmtRes!K51</f>
        <v>Катки дорожные самоходные гладкие 13 т</v>
      </c>
      <c r="D106" s="28" t="str">
        <f>SmtRes!O51</f>
        <v>маш.ч</v>
      </c>
      <c r="E106" s="27">
        <f>SmtRes!Y51</f>
        <v>18.68</v>
      </c>
      <c r="F106" s="27">
        <f>SmtRes!Y51*Source!I31</f>
        <v>3.736</v>
      </c>
      <c r="G106" s="27">
        <f>IF(SmtRes!AA51+SmtRes!AB51+SmtRes!AD51=0,"",ROUND((SmtRes!AA51+SmtRes!AB51+SmtRes!AD51),2))</f>
        <v>106.56</v>
      </c>
      <c r="H106" s="27">
        <f>IF(SmtRes!AA51+SmtRes!AB51+SmtRes!AD51=0,"",ROUND((SmtRes!AA51+SmtRes!AB51+SmtRes!AD51)*F106,2))</f>
        <v>398.11</v>
      </c>
      <c r="I106" s="27">
        <f>IF(SmtRes!AD51=0,"",ROUND(SmtRes!AD51*F106,2))</f>
      </c>
      <c r="J106" s="27">
        <f>IF(SmtRes!AB51=0,"",ROUND(SmtRes!AB51*F106,2))</f>
        <v>398.11</v>
      </c>
      <c r="K106" s="27">
        <f>IF(SmtRes!AC51=0,"",ROUND(SmtRes!AC51*F106,2))</f>
      </c>
      <c r="L106" s="27">
        <f>IF(SmtRes!AA51=0,"",ROUND(SmtRes!AA51*F106,2))</f>
      </c>
      <c r="M106" s="27"/>
      <c r="N106" s="27"/>
    </row>
    <row r="107" spans="1:14" s="17" customFormat="1" ht="24">
      <c r="A107" s="27"/>
      <c r="B107" s="28" t="str">
        <f>SmtRes!I52</f>
        <v>121601</v>
      </c>
      <c r="C107" s="28" t="str">
        <f>SmtRes!K52</f>
        <v>Машины поливомоечные 6000 л</v>
      </c>
      <c r="D107" s="28" t="str">
        <f>SmtRes!O52</f>
        <v>маш.ч</v>
      </c>
      <c r="E107" s="27">
        <f>SmtRes!Y52</f>
        <v>0.8</v>
      </c>
      <c r="F107" s="27">
        <f>SmtRes!Y52*Source!I31</f>
        <v>0.16000000000000003</v>
      </c>
      <c r="G107" s="27">
        <f>IF(SmtRes!AA52+SmtRes!AB52+SmtRes!AD52=0,"",ROUND((SmtRes!AA52+SmtRes!AB52+SmtRes!AD52),2))</f>
        <v>116.88</v>
      </c>
      <c r="H107" s="27">
        <f>IF(SmtRes!AA52+SmtRes!AB52+SmtRes!AD52=0,"",ROUND((SmtRes!AA52+SmtRes!AB52+SmtRes!AD52)*F107,2))</f>
        <v>18.7</v>
      </c>
      <c r="I107" s="27">
        <f>IF(SmtRes!AD52=0,"",ROUND(SmtRes!AD52*F107,2))</f>
      </c>
      <c r="J107" s="27">
        <f>IF(SmtRes!AB52=0,"",ROUND(SmtRes!AB52*F107,2))</f>
        <v>18.7</v>
      </c>
      <c r="K107" s="27">
        <f>IF(SmtRes!AC52=0,"",ROUND(SmtRes!AC52*F107,2))</f>
      </c>
      <c r="L107" s="27">
        <f>IF(SmtRes!AA52=0,"",ROUND(SmtRes!AA52*F107,2))</f>
      </c>
      <c r="M107" s="27"/>
      <c r="N107" s="27"/>
    </row>
    <row r="108" spans="1:14" ht="12.75">
      <c r="A108" s="52" t="s">
        <v>355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1:14" s="18" customFormat="1" ht="24">
      <c r="A109" s="31"/>
      <c r="B109" s="32" t="str">
        <f>SmtRes!I53</f>
        <v>101-0322</v>
      </c>
      <c r="C109" s="32" t="str">
        <f>SmtRes!K53</f>
        <v>Керосин для технических целей марок КТ-1, КТ-2</v>
      </c>
      <c r="D109" s="32" t="str">
        <f>SmtRes!O53</f>
        <v>т</v>
      </c>
      <c r="E109" s="31">
        <f>SmtRes!Y53</f>
        <v>0.005</v>
      </c>
      <c r="F109" s="31">
        <f>SmtRes!Y53*Source!I31</f>
        <v>0.001</v>
      </c>
      <c r="G109" s="31">
        <f>IF(SmtRes!AA53+SmtRes!AB53+SmtRes!AD53=0,"",ROUND((SmtRes!AA53+SmtRes!AB53+SmtRes!AD53),2))</f>
        <v>11587</v>
      </c>
      <c r="H109" s="31">
        <f>IF(SmtRes!AA53+SmtRes!AB53+SmtRes!AD53=0,"",ROUND((SmtRes!AA53+SmtRes!AB53+SmtRes!AD53)*F109,2))</f>
        <v>11.59</v>
      </c>
      <c r="I109" s="31">
        <f>IF(SmtRes!AD53=0,"",ROUND(SmtRes!AD53*F109,2))</f>
      </c>
      <c r="J109" s="31">
        <f>IF(SmtRes!AB53=0,"",ROUND(SmtRes!AB53*F109,2))</f>
      </c>
      <c r="K109" s="31">
        <f>IF(SmtRes!AC53=0,"",ROUND(SmtRes!AC53*F109,2))</f>
      </c>
      <c r="L109" s="31">
        <f>IF(SmtRes!AA53=0,"",ROUND(SmtRes!AA53*F109,2))</f>
        <v>11.59</v>
      </c>
      <c r="M109" s="31"/>
      <c r="N109" s="31"/>
    </row>
    <row r="110" spans="1:14" s="18" customFormat="1" ht="12">
      <c r="A110" s="29"/>
      <c r="B110" s="30" t="str">
        <f>SmtRes!I54</f>
        <v>410-9010</v>
      </c>
      <c r="C110" s="30" t="str">
        <f>SmtRes!K54</f>
        <v>Смесь асфальтобетонная</v>
      </c>
      <c r="D110" s="30" t="str">
        <f>SmtRes!O54</f>
        <v>т</v>
      </c>
      <c r="E110" s="29">
        <f>SmtRes!Y54</f>
        <v>101</v>
      </c>
      <c r="F110" s="29">
        <f>SmtRes!Y54*Source!I31</f>
        <v>20.200000000000003</v>
      </c>
      <c r="G110" s="29">
        <f>IF(SmtRes!AA54+SmtRes!AB54+SmtRes!AD54=0,"",ROUND((SmtRes!AA54+SmtRes!AB54+SmtRes!AD54),2))</f>
        <v>459.91</v>
      </c>
      <c r="H110" s="29">
        <f>IF(SmtRes!AA54+SmtRes!AB54+SmtRes!AD54=0,"",ROUND((SmtRes!AA54+SmtRes!AB54+SmtRes!AD54)*F110,2))</f>
        <v>9290.18</v>
      </c>
      <c r="I110" s="29">
        <f>IF(SmtRes!AD54=0,"",ROUND(SmtRes!AD54*F110,2))</f>
      </c>
      <c r="J110" s="29">
        <f>IF(SmtRes!AB54=0,"",ROUND(SmtRes!AB54*F110,2))</f>
      </c>
      <c r="K110" s="29">
        <f>IF(SmtRes!AC54=0,"",ROUND(SmtRes!AC54*F110,2))</f>
      </c>
      <c r="L110" s="29">
        <f>IF(SmtRes!AA54=0,"",ROUND(SmtRes!AA54*F110,2))</f>
        <v>9290.18</v>
      </c>
      <c r="M110" s="29"/>
      <c r="N110" s="29"/>
    </row>
    <row r="111" ht="6" customHeight="1"/>
    <row r="112" spans="1:14" ht="15">
      <c r="A112" s="34"/>
      <c r="B112" s="11"/>
      <c r="C112" s="33" t="s">
        <v>356</v>
      </c>
      <c r="D112" s="6"/>
      <c r="E112" s="6"/>
      <c r="F112" s="6"/>
      <c r="G112" s="6"/>
      <c r="H112" s="6">
        <f>IF(Source!F35=0,"-",ROUND(Source!F35,2))</f>
        <v>58676</v>
      </c>
      <c r="I112" s="6">
        <f>IF(Source!F39=0,"-",ROUND(Source!F39,2))</f>
        <v>6938.73</v>
      </c>
      <c r="J112" s="6">
        <f>IF(Source!F37=0,"-",ROUND(Source!F37,2))</f>
        <v>2249.76</v>
      </c>
      <c r="K112" s="6">
        <f>IF(Source!F38=0,"-",ROUND(Source!F38,2))</f>
        <v>243.06</v>
      </c>
      <c r="L112" s="6">
        <f>IF(Source!F36=0,"-",ROUND(Source!F36,2))</f>
        <v>49487.51</v>
      </c>
      <c r="M112" s="6">
        <f>IF(Source!F41=0,"-",ROUND(Source!F41,2))</f>
        <v>827.48</v>
      </c>
      <c r="N112" s="35">
        <f>IF(Source!F42=0,"-",ROUND(Source!F42,2))</f>
        <v>20.69</v>
      </c>
    </row>
    <row r="113" spans="1:14" ht="15">
      <c r="A113" s="34"/>
      <c r="B113" s="11"/>
      <c r="C113" s="1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5"/>
    </row>
    <row r="114" spans="1:14" ht="12.75">
      <c r="A114" s="36"/>
      <c r="C114" s="5" t="str">
        <f>Source!H46</f>
        <v>Итого прямые затраты</v>
      </c>
      <c r="G114" s="41">
        <f>ROUND(Source!F46,0)</f>
        <v>58676</v>
      </c>
      <c r="N114" s="37"/>
    </row>
    <row r="115" spans="1:14" ht="12.75">
      <c r="A115" s="36"/>
      <c r="C115" s="5" t="str">
        <f>Source!H47</f>
        <v>Накладные расходы</v>
      </c>
      <c r="G115" s="41">
        <f>ROUND(Source!F47,0)</f>
        <v>7528</v>
      </c>
      <c r="N115" s="37"/>
    </row>
    <row r="116" spans="1:14" ht="12.75">
      <c r="A116" s="36"/>
      <c r="C116" s="5" t="str">
        <f>Source!H48</f>
        <v>Сметная прибыль</v>
      </c>
      <c r="G116" s="41">
        <f>ROUND(Source!F48,0)</f>
        <v>4681</v>
      </c>
      <c r="N116" s="37"/>
    </row>
    <row r="117" spans="1:14" ht="12.75">
      <c r="A117" s="36"/>
      <c r="C117" s="5" t="str">
        <f>Source!H49</f>
        <v>Итого</v>
      </c>
      <c r="G117" s="41">
        <f>ROUND(Source!F49,0)</f>
        <v>70885</v>
      </c>
      <c r="N117" s="37"/>
    </row>
    <row r="118" spans="3:7" ht="12.75">
      <c r="C118" s="5" t="s">
        <v>380</v>
      </c>
      <c r="G118" s="41"/>
    </row>
    <row r="119" spans="1:14" ht="12.75">
      <c r="A119" s="36"/>
      <c r="B119" s="19"/>
      <c r="C119" s="19" t="s">
        <v>381</v>
      </c>
      <c r="D119" s="19"/>
      <c r="E119" s="19"/>
      <c r="F119" s="19"/>
      <c r="G119" s="42">
        <f>+G117*3.54</f>
        <v>250932.9</v>
      </c>
      <c r="H119" s="19"/>
      <c r="I119" s="19"/>
      <c r="J119" s="19"/>
      <c r="K119" s="19"/>
      <c r="L119" s="19"/>
      <c r="M119" s="19"/>
      <c r="N119" s="37"/>
    </row>
    <row r="120" spans="1:14" ht="12.75">
      <c r="A120" s="36"/>
      <c r="B120" s="19"/>
      <c r="C120" s="19" t="s">
        <v>359</v>
      </c>
      <c r="D120" s="19"/>
      <c r="E120" s="19"/>
      <c r="F120" s="19"/>
      <c r="G120" s="42">
        <f>+G119*0.015</f>
        <v>3763.9934999999996</v>
      </c>
      <c r="H120" s="19"/>
      <c r="I120" s="19"/>
      <c r="J120" s="19"/>
      <c r="K120" s="19"/>
      <c r="L120" s="19"/>
      <c r="M120" s="19"/>
      <c r="N120" s="37"/>
    </row>
    <row r="121" spans="1:14" ht="12.75">
      <c r="A121" s="36"/>
      <c r="B121" s="19"/>
      <c r="C121" s="19" t="s">
        <v>93</v>
      </c>
      <c r="D121" s="19"/>
      <c r="E121" s="19"/>
      <c r="F121" s="19"/>
      <c r="G121" s="42">
        <f>+G119+G120</f>
        <v>254696.8935</v>
      </c>
      <c r="H121" s="19"/>
      <c r="I121" s="19"/>
      <c r="J121" s="19"/>
      <c r="K121" s="19"/>
      <c r="L121" s="19"/>
      <c r="M121" s="19"/>
      <c r="N121" s="37"/>
    </row>
    <row r="122" spans="1:14" ht="12.75">
      <c r="A122" s="36"/>
      <c r="B122" s="19"/>
      <c r="C122" s="19" t="s">
        <v>360</v>
      </c>
      <c r="D122" s="19"/>
      <c r="E122" s="19"/>
      <c r="F122" s="19"/>
      <c r="G122" s="42">
        <f>+G121*0.18</f>
        <v>45845.44083</v>
      </c>
      <c r="H122" s="19"/>
      <c r="I122" s="19"/>
      <c r="J122" s="19"/>
      <c r="K122" s="19"/>
      <c r="L122" s="19"/>
      <c r="M122" s="19"/>
      <c r="N122" s="37"/>
    </row>
    <row r="123" spans="1:14" ht="12.75">
      <c r="A123" s="36"/>
      <c r="B123" s="19"/>
      <c r="C123" s="43" t="s">
        <v>361</v>
      </c>
      <c r="D123" s="43"/>
      <c r="E123" s="43"/>
      <c r="F123" s="43"/>
      <c r="G123" s="44">
        <f>+G121+G122</f>
        <v>300542.33433</v>
      </c>
      <c r="H123" s="19"/>
      <c r="I123" s="19"/>
      <c r="J123" s="19"/>
      <c r="K123" s="19"/>
      <c r="L123" s="19"/>
      <c r="M123" s="19"/>
      <c r="N123" s="37"/>
    </row>
    <row r="124" spans="1:14" ht="12.75">
      <c r="A124" s="36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37"/>
    </row>
    <row r="125" spans="1:14" ht="12.75">
      <c r="A125" s="36"/>
      <c r="B125" s="19"/>
      <c r="C125" s="19" t="s">
        <v>357</v>
      </c>
      <c r="D125" s="19"/>
      <c r="E125" s="20">
        <f>Source!R12</f>
      </c>
      <c r="F125" s="19">
        <f>IF(Source!AO12&lt;&gt;"",CONCATENATE(" /",Source!AO12,"/"),"")</f>
      </c>
      <c r="G125" s="19"/>
      <c r="H125" s="19"/>
      <c r="I125" s="19"/>
      <c r="J125" s="19"/>
      <c r="K125" s="19"/>
      <c r="L125" s="19"/>
      <c r="M125" s="19"/>
      <c r="N125" s="37"/>
    </row>
    <row r="126" spans="1:14" ht="12.75">
      <c r="A126" s="36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37"/>
    </row>
    <row r="127" spans="1:14" ht="12.75">
      <c r="A127" s="36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37"/>
    </row>
    <row r="128" spans="1:14" ht="12.75">
      <c r="A128" s="36"/>
      <c r="B128" s="19"/>
      <c r="C128" s="19" t="s">
        <v>358</v>
      </c>
      <c r="D128" s="19"/>
      <c r="E128" s="20">
        <f>Source!S12</f>
      </c>
      <c r="F128" s="19">
        <f>IF(Source!AP12&lt;&gt;"",CONCATENATE(" /",Source!AP12,"/"),"")</f>
      </c>
      <c r="G128" s="19"/>
      <c r="H128" s="19"/>
      <c r="I128" s="19"/>
      <c r="J128" s="19"/>
      <c r="K128" s="19"/>
      <c r="L128" s="19"/>
      <c r="M128" s="19"/>
      <c r="N128" s="37"/>
    </row>
    <row r="129" spans="1:14" ht="12.75">
      <c r="A129" s="3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0"/>
    </row>
  </sheetData>
  <mergeCells count="32">
    <mergeCell ref="J13:M13"/>
    <mergeCell ref="A104:N104"/>
    <mergeCell ref="A108:N108"/>
    <mergeCell ref="A20:L20"/>
    <mergeCell ref="B21:L21"/>
    <mergeCell ref="A83:N83"/>
    <mergeCell ref="A85:N85"/>
    <mergeCell ref="A92:N92"/>
    <mergeCell ref="A98:N98"/>
    <mergeCell ref="A55:N55"/>
    <mergeCell ref="A58:N58"/>
    <mergeCell ref="A66:N66"/>
    <mergeCell ref="A70:N70"/>
    <mergeCell ref="A38:N38"/>
    <mergeCell ref="A40:N40"/>
    <mergeCell ref="A45:N45"/>
    <mergeCell ref="A48:N48"/>
    <mergeCell ref="A19:N19"/>
    <mergeCell ref="A23:N23"/>
    <mergeCell ref="A29:A31"/>
    <mergeCell ref="B29:B31"/>
    <mergeCell ref="C29:C31"/>
    <mergeCell ref="D29:D31"/>
    <mergeCell ref="E29:F29"/>
    <mergeCell ref="E30:E31"/>
    <mergeCell ref="N29:N31"/>
    <mergeCell ref="G30:G31"/>
    <mergeCell ref="F30:F31"/>
    <mergeCell ref="G29:L29"/>
    <mergeCell ref="I30:L30"/>
    <mergeCell ref="M29:M31"/>
    <mergeCell ref="H30:H31"/>
  </mergeCells>
  <printOptions/>
  <pageMargins left="0.4" right="0.4" top="0.4694444444444444" bottom="0.4" header="0.2777777777777778" footer="0.2777777777777778"/>
  <pageSetup horizontalDpi="600" verticalDpi="600" orientation="landscape" paperSize="9" r:id="rId1"/>
  <rowBreaks count="1" manualBreakCount="1"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112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23048</v>
      </c>
    </row>
    <row r="12" spans="1:103" ht="12.75">
      <c r="A12" s="1">
        <v>1</v>
      </c>
      <c r="B12" s="1">
        <v>1</v>
      </c>
      <c r="C12" s="1">
        <v>0</v>
      </c>
      <c r="D12" s="1">
        <f>ROW(A51)</f>
        <v>51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>
        <v>0</v>
      </c>
      <c r="Q12" s="1">
        <v>0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-1</v>
      </c>
      <c r="W12" s="1" t="s">
        <v>6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4647327</v>
      </c>
      <c r="BE12" s="1" t="s">
        <v>7</v>
      </c>
      <c r="BF12" s="1" t="s">
        <v>8</v>
      </c>
      <c r="BG12" s="1">
        <v>3446727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4064028</v>
      </c>
      <c r="CB12" s="1">
        <v>4064022</v>
      </c>
      <c r="CC12" s="1">
        <v>4064020</v>
      </c>
      <c r="CD12" s="1">
        <v>4064018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3">
        <v>52</v>
      </c>
      <c r="B18" s="3">
        <f aca="true" t="shared" si="0" ref="B18:AM18">B51</f>
        <v>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Ремонт кровли д/сада "василек" в р.п.Мкулоовка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3">
        <f t="shared" si="0"/>
        <v>0</v>
      </c>
      <c r="O18" s="3">
        <f t="shared" si="0"/>
        <v>58676</v>
      </c>
      <c r="P18" s="3">
        <f t="shared" si="0"/>
        <v>49487.51</v>
      </c>
      <c r="Q18" s="3">
        <f t="shared" si="0"/>
        <v>2249.76</v>
      </c>
      <c r="R18" s="3">
        <f t="shared" si="0"/>
        <v>243.06</v>
      </c>
      <c r="S18" s="3">
        <f t="shared" si="0"/>
        <v>6938.73</v>
      </c>
      <c r="T18" s="3">
        <f t="shared" si="0"/>
        <v>0</v>
      </c>
      <c r="U18" s="3">
        <f t="shared" si="0"/>
        <v>827.48</v>
      </c>
      <c r="V18" s="3">
        <f t="shared" si="0"/>
        <v>20.69</v>
      </c>
      <c r="W18" s="3">
        <f t="shared" si="0"/>
        <v>0</v>
      </c>
      <c r="X18" s="3">
        <f t="shared" si="0"/>
        <v>7527.62</v>
      </c>
      <c r="Y18" s="3">
        <f t="shared" si="0"/>
        <v>4680.52</v>
      </c>
      <c r="Z18" s="3">
        <f t="shared" si="0"/>
        <v>0</v>
      </c>
      <c r="AA18" s="3">
        <f t="shared" si="0"/>
        <v>0</v>
      </c>
      <c r="AB18" s="3">
        <f t="shared" si="0"/>
        <v>0</v>
      </c>
      <c r="AC18" s="3">
        <f t="shared" si="0"/>
        <v>0</v>
      </c>
      <c r="AD18" s="3">
        <f t="shared" si="0"/>
        <v>0</v>
      </c>
      <c r="AE18" s="3">
        <f t="shared" si="0"/>
        <v>0</v>
      </c>
      <c r="AF18" s="3">
        <f t="shared" si="0"/>
        <v>0</v>
      </c>
      <c r="AG18" s="3">
        <f t="shared" si="0"/>
        <v>0</v>
      </c>
      <c r="AH18" s="3">
        <f t="shared" si="0"/>
        <v>0</v>
      </c>
      <c r="AI18" s="3">
        <f t="shared" si="0"/>
        <v>0</v>
      </c>
      <c r="AJ18" s="3">
        <f t="shared" si="0"/>
        <v>0</v>
      </c>
      <c r="AK18" s="3">
        <f t="shared" si="0"/>
        <v>0</v>
      </c>
      <c r="AL18" s="3">
        <f t="shared" si="0"/>
        <v>0</v>
      </c>
      <c r="AM18" s="3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ROW(A33)</f>
        <v>33</v>
      </c>
      <c r="E20" s="1"/>
      <c r="F20" s="1" t="s">
        <v>13</v>
      </c>
      <c r="G20" s="1" t="s">
        <v>13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3">
        <v>52</v>
      </c>
      <c r="B22" s="3">
        <f aca="true" t="shared" si="1" ref="B22:AM22">B33</f>
        <v>1</v>
      </c>
      <c r="C22" s="3">
        <f t="shared" si="1"/>
        <v>3</v>
      </c>
      <c r="D22" s="3">
        <f t="shared" si="1"/>
        <v>20</v>
      </c>
      <c r="E22" s="3">
        <f t="shared" si="1"/>
        <v>0</v>
      </c>
      <c r="F22" s="3" t="str">
        <f t="shared" si="1"/>
        <v>Новая локальная смета</v>
      </c>
      <c r="G22" s="3" t="str">
        <f t="shared" si="1"/>
        <v>Новая локальная смета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58676</v>
      </c>
      <c r="P22" s="3">
        <f t="shared" si="1"/>
        <v>49487.51</v>
      </c>
      <c r="Q22" s="3">
        <f t="shared" si="1"/>
        <v>2249.76</v>
      </c>
      <c r="R22" s="3">
        <f t="shared" si="1"/>
        <v>243.06</v>
      </c>
      <c r="S22" s="3">
        <f t="shared" si="1"/>
        <v>6938.73</v>
      </c>
      <c r="T22" s="3">
        <f t="shared" si="1"/>
        <v>0</v>
      </c>
      <c r="U22" s="3">
        <f t="shared" si="1"/>
        <v>827.48</v>
      </c>
      <c r="V22" s="3">
        <f t="shared" si="1"/>
        <v>20.69</v>
      </c>
      <c r="W22" s="3">
        <f t="shared" si="1"/>
        <v>0</v>
      </c>
      <c r="X22" s="3">
        <f t="shared" si="1"/>
        <v>7527.62</v>
      </c>
      <c r="Y22" s="3">
        <f t="shared" si="1"/>
        <v>4680.52</v>
      </c>
      <c r="Z22" s="3">
        <f t="shared" si="1"/>
        <v>0</v>
      </c>
      <c r="AA22" s="3">
        <f t="shared" si="1"/>
        <v>0</v>
      </c>
      <c r="AB22" s="3">
        <f t="shared" si="1"/>
        <v>58676</v>
      </c>
      <c r="AC22" s="3">
        <f t="shared" si="1"/>
        <v>49487.51</v>
      </c>
      <c r="AD22" s="3">
        <f t="shared" si="1"/>
        <v>2249.76</v>
      </c>
      <c r="AE22" s="3">
        <f t="shared" si="1"/>
        <v>243.06</v>
      </c>
      <c r="AF22" s="3">
        <f t="shared" si="1"/>
        <v>6938.73</v>
      </c>
      <c r="AG22" s="3">
        <f t="shared" si="1"/>
        <v>0</v>
      </c>
      <c r="AH22" s="3">
        <f t="shared" si="1"/>
        <v>827.48</v>
      </c>
      <c r="AI22" s="3">
        <f t="shared" si="1"/>
        <v>20.69</v>
      </c>
      <c r="AJ22" s="3">
        <f t="shared" si="1"/>
        <v>0</v>
      </c>
      <c r="AK22" s="3">
        <f t="shared" si="1"/>
        <v>7527.62</v>
      </c>
      <c r="AL22" s="3">
        <f t="shared" si="1"/>
        <v>4680.52</v>
      </c>
      <c r="AM22" s="3">
        <f t="shared" si="1"/>
        <v>0</v>
      </c>
    </row>
    <row r="24" spans="1:151" ht="12.75">
      <c r="A24">
        <v>17</v>
      </c>
      <c r="B24">
        <v>1</v>
      </c>
      <c r="C24">
        <f>ROW(SmtRes!A3)</f>
        <v>3</v>
      </c>
      <c r="E24">
        <v>1</v>
      </c>
      <c r="F24" t="s">
        <v>15</v>
      </c>
      <c r="G24" t="s">
        <v>16</v>
      </c>
      <c r="H24" t="s">
        <v>17</v>
      </c>
      <c r="I24">
        <v>8.7</v>
      </c>
      <c r="J24">
        <v>0</v>
      </c>
      <c r="O24">
        <f aca="true" t="shared" si="2" ref="O24:O31">ROUND(CP24,2)</f>
        <v>1668.23</v>
      </c>
      <c r="P24">
        <f aca="true" t="shared" si="3" ref="P24:P31">ROUND(CQ24*I24,2)</f>
        <v>0</v>
      </c>
      <c r="Q24">
        <f aca="true" t="shared" si="4" ref="Q24:Q31">ROUND(CR24*I24,2)</f>
        <v>15.23</v>
      </c>
      <c r="R24">
        <f aca="true" t="shared" si="5" ref="R24:R31">ROUND(CS24*I24,2)</f>
        <v>0</v>
      </c>
      <c r="S24">
        <f aca="true" t="shared" si="6" ref="S24:S31">ROUND(CT24*I24,2)</f>
        <v>1653</v>
      </c>
      <c r="T24">
        <f aca="true" t="shared" si="7" ref="T24:T31">ROUND(CU24*I24,2)</f>
        <v>0</v>
      </c>
      <c r="U24">
        <f aca="true" t="shared" si="8" ref="U24:U31">ROUND(CV24*I24,2)</f>
        <v>212.19</v>
      </c>
      <c r="V24">
        <f aca="true" t="shared" si="9" ref="V24:V31">ROUND(CW24*I24,2)</f>
        <v>0</v>
      </c>
      <c r="W24">
        <f aca="true" t="shared" si="10" ref="W24:W31">ROUND(CX24*I24,2)</f>
        <v>0</v>
      </c>
      <c r="X24">
        <f aca="true" t="shared" si="11" ref="X24:Y31">ROUND(CY24,2)</f>
        <v>1371.99</v>
      </c>
      <c r="Y24">
        <f t="shared" si="11"/>
        <v>1074.45</v>
      </c>
      <c r="AA24">
        <v>0</v>
      </c>
      <c r="AB24">
        <f aca="true" t="shared" si="12" ref="AB24:AB31">(AC24+AD24+AF24)</f>
        <v>191.75</v>
      </c>
      <c r="AC24">
        <f aca="true" t="shared" si="13" ref="AC24:AD28">AL24</f>
        <v>0</v>
      </c>
      <c r="AD24">
        <f t="shared" si="13"/>
        <v>1.75</v>
      </c>
      <c r="AE24">
        <f aca="true" t="shared" si="14" ref="AE24:AF26">(AN24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</v>
      </c>
      <c r="AF24">
        <f t="shared" si="14"/>
        <v>190</v>
      </c>
      <c r="AG24">
        <f aca="true" t="shared" si="15" ref="AG24:AG31">AP24</f>
        <v>0</v>
      </c>
      <c r="AH24">
        <f aca="true" t="shared" si="16" ref="AH24:AI26">(AQ24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24.39</v>
      </c>
      <c r="AI24">
        <f t="shared" si="16"/>
        <v>0</v>
      </c>
      <c r="AJ24">
        <f aca="true" t="shared" si="17" ref="AJ24:AJ31">AS24</f>
        <v>0</v>
      </c>
      <c r="AK24">
        <v>191.75</v>
      </c>
      <c r="AL24">
        <v>0</v>
      </c>
      <c r="AM24">
        <v>1.75</v>
      </c>
      <c r="AN24">
        <v>0</v>
      </c>
      <c r="AO24">
        <v>190</v>
      </c>
      <c r="AP24">
        <v>0</v>
      </c>
      <c r="AQ24">
        <v>24.39</v>
      </c>
      <c r="AR24">
        <v>0</v>
      </c>
      <c r="AS24">
        <v>0</v>
      </c>
      <c r="AT24">
        <v>83</v>
      </c>
      <c r="AU24"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18</v>
      </c>
      <c r="BM24">
        <v>218</v>
      </c>
      <c r="BN24">
        <v>0</v>
      </c>
      <c r="BP24">
        <v>0</v>
      </c>
      <c r="BQ24">
        <v>6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CF24">
        <v>0</v>
      </c>
      <c r="CG24">
        <v>0</v>
      </c>
      <c r="CM24">
        <v>0</v>
      </c>
      <c r="CO24">
        <v>0</v>
      </c>
      <c r="CP24">
        <f aca="true" t="shared" si="18" ref="CP24:CP31">(P24+Q24+S24)</f>
        <v>1668.23</v>
      </c>
      <c r="CQ24">
        <f aca="true" t="shared" si="19" ref="CQ24:CQ31">(AC24)*BC24</f>
        <v>0</v>
      </c>
      <c r="CR24">
        <f aca="true" t="shared" si="20" ref="CR24:CR31">(AD24)*BB24</f>
        <v>1.75</v>
      </c>
      <c r="CS24">
        <f aca="true" t="shared" si="21" ref="CS24:CS31">(AE24)*BS24</f>
        <v>0</v>
      </c>
      <c r="CT24">
        <f aca="true" t="shared" si="22" ref="CT24:CT31">(AF24)*BA24</f>
        <v>190</v>
      </c>
      <c r="CU24">
        <f aca="true" t="shared" si="23" ref="CU24:CX31">(AG24)*BT24</f>
        <v>0</v>
      </c>
      <c r="CV24">
        <f t="shared" si="23"/>
        <v>24.39</v>
      </c>
      <c r="CW24">
        <f t="shared" si="23"/>
        <v>0</v>
      </c>
      <c r="CX24">
        <f t="shared" si="23"/>
        <v>0</v>
      </c>
      <c r="CY24">
        <f>((((S24+R24)*AT24)/100)*IF((1=1),1,0.6)*IF((0=0),1,1.2)*IF((1=1),1,0.7))</f>
        <v>1371.99</v>
      </c>
      <c r="CZ24">
        <f>((((S24+R24)*AU24)/100)*IF((1=1),1,0.9))</f>
        <v>1074.45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17</v>
      </c>
      <c r="DW24" t="s">
        <v>19</v>
      </c>
      <c r="DX24">
        <v>100</v>
      </c>
      <c r="EE24">
        <v>4020402</v>
      </c>
      <c r="EF24">
        <v>6</v>
      </c>
      <c r="EG24" t="s">
        <v>20</v>
      </c>
      <c r="EH24">
        <v>17</v>
      </c>
      <c r="EI24" t="s">
        <v>21</v>
      </c>
      <c r="EJ24">
        <v>1</v>
      </c>
      <c r="EK24">
        <v>218</v>
      </c>
      <c r="EL24" t="s">
        <v>22</v>
      </c>
      <c r="EM24" t="s">
        <v>23</v>
      </c>
      <c r="ET24">
        <v>8.7</v>
      </c>
      <c r="EU24">
        <v>2</v>
      </c>
    </row>
    <row r="25" spans="1:151" ht="12.75">
      <c r="A25">
        <v>17</v>
      </c>
      <c r="B25">
        <v>1</v>
      </c>
      <c r="C25">
        <f>ROW(SmtRes!A10)</f>
        <v>10</v>
      </c>
      <c r="E25">
        <v>2</v>
      </c>
      <c r="F25" t="s">
        <v>25</v>
      </c>
      <c r="G25" t="s">
        <v>26</v>
      </c>
      <c r="H25" t="s">
        <v>17</v>
      </c>
      <c r="I25">
        <v>0.6</v>
      </c>
      <c r="J25">
        <v>0</v>
      </c>
      <c r="O25">
        <f t="shared" si="2"/>
        <v>1137.24</v>
      </c>
      <c r="P25">
        <f t="shared" si="3"/>
        <v>816.54</v>
      </c>
      <c r="Q25">
        <f t="shared" si="4"/>
        <v>10.86</v>
      </c>
      <c r="R25">
        <f t="shared" si="5"/>
        <v>1.99</v>
      </c>
      <c r="S25">
        <f t="shared" si="6"/>
        <v>309.84</v>
      </c>
      <c r="T25">
        <f t="shared" si="7"/>
        <v>0</v>
      </c>
      <c r="U25">
        <f t="shared" si="8"/>
        <v>39.07</v>
      </c>
      <c r="V25">
        <f t="shared" si="9"/>
        <v>0.17</v>
      </c>
      <c r="W25">
        <f t="shared" si="10"/>
        <v>0</v>
      </c>
      <c r="X25">
        <f t="shared" si="11"/>
        <v>258.82</v>
      </c>
      <c r="Y25">
        <f t="shared" si="11"/>
        <v>202.69</v>
      </c>
      <c r="AA25">
        <v>0</v>
      </c>
      <c r="AB25">
        <f t="shared" si="12"/>
        <v>1895.4</v>
      </c>
      <c r="AC25">
        <f t="shared" si="13"/>
        <v>1360.9</v>
      </c>
      <c r="AD25">
        <f t="shared" si="13"/>
        <v>18.1</v>
      </c>
      <c r="AE25">
        <f t="shared" si="14"/>
        <v>3.31</v>
      </c>
      <c r="AF25">
        <f t="shared" si="14"/>
        <v>516.4</v>
      </c>
      <c r="AG25">
        <f t="shared" si="15"/>
        <v>0</v>
      </c>
      <c r="AH25">
        <f t="shared" si="16"/>
        <v>65.12</v>
      </c>
      <c r="AI25">
        <f t="shared" si="16"/>
        <v>0.28</v>
      </c>
      <c r="AJ25">
        <f t="shared" si="17"/>
        <v>0</v>
      </c>
      <c r="AK25">
        <v>1895.4</v>
      </c>
      <c r="AL25">
        <v>1360.9</v>
      </c>
      <c r="AM25">
        <v>18.1</v>
      </c>
      <c r="AN25">
        <v>3.31</v>
      </c>
      <c r="AO25">
        <v>516.4</v>
      </c>
      <c r="AP25">
        <v>0</v>
      </c>
      <c r="AQ25">
        <v>65.12</v>
      </c>
      <c r="AR25">
        <v>0.28</v>
      </c>
      <c r="AS25">
        <v>0</v>
      </c>
      <c r="AT25">
        <v>83</v>
      </c>
      <c r="AU25"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27</v>
      </c>
      <c r="BM25">
        <v>218</v>
      </c>
      <c r="BN25">
        <v>0</v>
      </c>
      <c r="BP25">
        <v>0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CF25">
        <v>0</v>
      </c>
      <c r="CG25">
        <v>0</v>
      </c>
      <c r="CM25">
        <v>0</v>
      </c>
      <c r="CO25">
        <v>0</v>
      </c>
      <c r="CP25">
        <f t="shared" si="18"/>
        <v>1137.24</v>
      </c>
      <c r="CQ25">
        <f t="shared" si="19"/>
        <v>1360.9</v>
      </c>
      <c r="CR25">
        <f t="shared" si="20"/>
        <v>18.1</v>
      </c>
      <c r="CS25">
        <f t="shared" si="21"/>
        <v>3.31</v>
      </c>
      <c r="CT25">
        <f t="shared" si="22"/>
        <v>516.4</v>
      </c>
      <c r="CU25">
        <f t="shared" si="23"/>
        <v>0</v>
      </c>
      <c r="CV25">
        <f t="shared" si="23"/>
        <v>65.12</v>
      </c>
      <c r="CW25">
        <f t="shared" si="23"/>
        <v>0.28</v>
      </c>
      <c r="CX25">
        <f t="shared" si="23"/>
        <v>0</v>
      </c>
      <c r="CY25">
        <f>((((S25+R25)*AT25)/100)*IF((1=1),1,0.6)*IF((0=0),1,1.2)*IF((1=1),1,0.7))</f>
        <v>258.8189</v>
      </c>
      <c r="CZ25">
        <f>((((S25+R25)*AU25)/100)*IF((1=1),1,0.9))</f>
        <v>202.6895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17</v>
      </c>
      <c r="DW25" t="s">
        <v>28</v>
      </c>
      <c r="DX25">
        <v>100</v>
      </c>
      <c r="EE25">
        <v>4020402</v>
      </c>
      <c r="EF25">
        <v>6</v>
      </c>
      <c r="EG25" t="s">
        <v>20</v>
      </c>
      <c r="EH25">
        <v>17</v>
      </c>
      <c r="EI25" t="s">
        <v>21</v>
      </c>
      <c r="EJ25">
        <v>1</v>
      </c>
      <c r="EK25">
        <v>218</v>
      </c>
      <c r="EL25" t="s">
        <v>22</v>
      </c>
      <c r="EM25" t="s">
        <v>23</v>
      </c>
      <c r="ET25">
        <v>0.6</v>
      </c>
      <c r="EU25">
        <v>2</v>
      </c>
    </row>
    <row r="26" spans="1:151" ht="12.75">
      <c r="A26">
        <v>17</v>
      </c>
      <c r="B26">
        <v>1</v>
      </c>
      <c r="C26">
        <f>ROW(SmtRes!A18)</f>
        <v>18</v>
      </c>
      <c r="E26">
        <v>3</v>
      </c>
      <c r="F26" t="s">
        <v>29</v>
      </c>
      <c r="G26" t="s">
        <v>30</v>
      </c>
      <c r="H26" t="s">
        <v>31</v>
      </c>
      <c r="I26">
        <v>1.4</v>
      </c>
      <c r="J26">
        <v>0</v>
      </c>
      <c r="O26">
        <f t="shared" si="2"/>
        <v>6442.81</v>
      </c>
      <c r="P26">
        <f t="shared" si="3"/>
        <v>5681.02</v>
      </c>
      <c r="Q26">
        <f t="shared" si="4"/>
        <v>7.71</v>
      </c>
      <c r="R26">
        <f t="shared" si="5"/>
        <v>2.16</v>
      </c>
      <c r="S26">
        <f t="shared" si="6"/>
        <v>754.08</v>
      </c>
      <c r="T26">
        <f t="shared" si="7"/>
        <v>0</v>
      </c>
      <c r="U26">
        <f t="shared" si="8"/>
        <v>88.51</v>
      </c>
      <c r="V26">
        <f t="shared" si="9"/>
        <v>0.28</v>
      </c>
      <c r="W26">
        <f t="shared" si="10"/>
        <v>0</v>
      </c>
      <c r="X26">
        <f t="shared" si="11"/>
        <v>627.68</v>
      </c>
      <c r="Y26">
        <f t="shared" si="11"/>
        <v>491.56</v>
      </c>
      <c r="AA26">
        <v>0</v>
      </c>
      <c r="AB26">
        <f t="shared" si="12"/>
        <v>4602.01</v>
      </c>
      <c r="AC26">
        <f t="shared" si="13"/>
        <v>4057.87</v>
      </c>
      <c r="AD26">
        <f t="shared" si="13"/>
        <v>5.51</v>
      </c>
      <c r="AE26">
        <f t="shared" si="14"/>
        <v>1.54</v>
      </c>
      <c r="AF26">
        <f t="shared" si="14"/>
        <v>538.63</v>
      </c>
      <c r="AG26">
        <f t="shared" si="15"/>
        <v>0</v>
      </c>
      <c r="AH26">
        <f t="shared" si="16"/>
        <v>63.22</v>
      </c>
      <c r="AI26">
        <f t="shared" si="16"/>
        <v>0.2</v>
      </c>
      <c r="AJ26">
        <f t="shared" si="17"/>
        <v>0</v>
      </c>
      <c r="AK26">
        <v>4602.01</v>
      </c>
      <c r="AL26">
        <v>4057.87</v>
      </c>
      <c r="AM26">
        <v>5.51</v>
      </c>
      <c r="AN26">
        <v>1.54</v>
      </c>
      <c r="AO26">
        <v>538.63</v>
      </c>
      <c r="AP26">
        <v>0</v>
      </c>
      <c r="AQ26">
        <v>63.22</v>
      </c>
      <c r="AR26">
        <v>0.2</v>
      </c>
      <c r="AS26">
        <v>0</v>
      </c>
      <c r="AT26">
        <v>83</v>
      </c>
      <c r="AU26"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32</v>
      </c>
      <c r="BM26">
        <v>218</v>
      </c>
      <c r="BN26">
        <v>0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CF26">
        <v>0</v>
      </c>
      <c r="CG26">
        <v>0</v>
      </c>
      <c r="CM26">
        <v>0</v>
      </c>
      <c r="CO26">
        <v>0</v>
      </c>
      <c r="CP26">
        <f t="shared" si="18"/>
        <v>6442.81</v>
      </c>
      <c r="CQ26">
        <f t="shared" si="19"/>
        <v>4057.87</v>
      </c>
      <c r="CR26">
        <f t="shared" si="20"/>
        <v>5.51</v>
      </c>
      <c r="CS26">
        <f t="shared" si="21"/>
        <v>1.54</v>
      </c>
      <c r="CT26">
        <f t="shared" si="22"/>
        <v>538.63</v>
      </c>
      <c r="CU26">
        <f t="shared" si="23"/>
        <v>0</v>
      </c>
      <c r="CV26">
        <f t="shared" si="23"/>
        <v>63.22</v>
      </c>
      <c r="CW26">
        <f t="shared" si="23"/>
        <v>0.2</v>
      </c>
      <c r="CX26">
        <f t="shared" si="23"/>
        <v>0</v>
      </c>
      <c r="CY26">
        <f>((((S26+R26)*AT26)/100)*IF((1=1),1,0.6)*IF((0=0),1,1.2)*IF((1=1),1,0.7))</f>
        <v>627.6792</v>
      </c>
      <c r="CZ26">
        <f>((((S26+R26)*AU26)/100)*IF((1=1),1,0.9))</f>
        <v>491.556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1003</v>
      </c>
      <c r="DV26" t="s">
        <v>31</v>
      </c>
      <c r="DW26" t="s">
        <v>31</v>
      </c>
      <c r="DX26">
        <v>100</v>
      </c>
      <c r="EE26">
        <v>4020402</v>
      </c>
      <c r="EF26">
        <v>6</v>
      </c>
      <c r="EG26" t="s">
        <v>20</v>
      </c>
      <c r="EH26">
        <v>17</v>
      </c>
      <c r="EI26" t="s">
        <v>21</v>
      </c>
      <c r="EJ26">
        <v>1</v>
      </c>
      <c r="EK26">
        <v>218</v>
      </c>
      <c r="EL26" t="s">
        <v>22</v>
      </c>
      <c r="EM26" t="s">
        <v>23</v>
      </c>
      <c r="ET26">
        <v>1.4</v>
      </c>
      <c r="EU26">
        <v>2</v>
      </c>
    </row>
    <row r="27" spans="1:151" ht="12.75">
      <c r="A27">
        <v>17</v>
      </c>
      <c r="B27">
        <v>1</v>
      </c>
      <c r="C27">
        <f>ROW(SmtRes!A32)</f>
        <v>32</v>
      </c>
      <c r="E27">
        <v>4</v>
      </c>
      <c r="F27" t="s">
        <v>33</v>
      </c>
      <c r="G27" t="s">
        <v>34</v>
      </c>
      <c r="H27" t="s">
        <v>17</v>
      </c>
      <c r="I27">
        <v>9.5</v>
      </c>
      <c r="J27">
        <v>0</v>
      </c>
      <c r="O27">
        <f t="shared" si="2"/>
        <v>38294.7</v>
      </c>
      <c r="P27">
        <f t="shared" si="3"/>
        <v>33290.76</v>
      </c>
      <c r="Q27">
        <f t="shared" si="4"/>
        <v>1136.3</v>
      </c>
      <c r="R27">
        <f t="shared" si="5"/>
        <v>133.48</v>
      </c>
      <c r="S27">
        <f t="shared" si="6"/>
        <v>3867.64</v>
      </c>
      <c r="T27">
        <f t="shared" si="7"/>
        <v>0</v>
      </c>
      <c r="U27">
        <f t="shared" si="8"/>
        <v>448.69</v>
      </c>
      <c r="V27">
        <f t="shared" si="9"/>
        <v>11.31</v>
      </c>
      <c r="W27">
        <f t="shared" si="10"/>
        <v>0</v>
      </c>
      <c r="X27">
        <f t="shared" si="11"/>
        <v>4801.34</v>
      </c>
      <c r="Y27">
        <f t="shared" si="11"/>
        <v>2600.73</v>
      </c>
      <c r="AA27">
        <v>0</v>
      </c>
      <c r="AB27">
        <f t="shared" si="12"/>
        <v>4031.02</v>
      </c>
      <c r="AC27">
        <f t="shared" si="13"/>
        <v>3504.29</v>
      </c>
      <c r="AD27">
        <f t="shared" si="13"/>
        <v>119.61</v>
      </c>
      <c r="AE27">
        <f>(AN27*1*1*1*1*1*1*1*1*1*1*1*1*1*1*1*1*1*1*1*1*1*1*1*1*1*1*1*1)</f>
        <v>14.05</v>
      </c>
      <c r="AF27">
        <f>(AO27*1*1*1*1*1*1*1*1*1*1*1*1*1*1*1*1*1*1*1*1*1*1*1*1*1*1*1*1)</f>
        <v>407.12</v>
      </c>
      <c r="AG27">
        <f t="shared" si="15"/>
        <v>0</v>
      </c>
      <c r="AH27">
        <f>(AQ27*1*1*1*1*1*1*1*1*1*1*1*1*1*1*1*1*1*1*1*1*1*1*1*1*1*1*1)</f>
        <v>47.23</v>
      </c>
      <c r="AI27">
        <f>(AR27*1*1*1*1*1*1*1*1*1*1*1*1*1*1*1*1*1*1*1*1*1*1*1*1*1*1*1)</f>
        <v>1.19</v>
      </c>
      <c r="AJ27">
        <f t="shared" si="17"/>
        <v>0</v>
      </c>
      <c r="AK27">
        <v>4031.02</v>
      </c>
      <c r="AL27">
        <v>3504.29</v>
      </c>
      <c r="AM27">
        <v>119.61</v>
      </c>
      <c r="AN27">
        <v>14.05</v>
      </c>
      <c r="AO27">
        <v>407.12</v>
      </c>
      <c r="AP27">
        <v>0</v>
      </c>
      <c r="AQ27">
        <v>47.23</v>
      </c>
      <c r="AR27">
        <v>1.19</v>
      </c>
      <c r="AS27">
        <v>0</v>
      </c>
      <c r="AT27">
        <v>120</v>
      </c>
      <c r="AU27"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35</v>
      </c>
      <c r="BM27">
        <v>18</v>
      </c>
      <c r="BN27">
        <v>0</v>
      </c>
      <c r="BP27">
        <v>0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CF27">
        <v>0</v>
      </c>
      <c r="CG27">
        <v>0</v>
      </c>
      <c r="CM27">
        <v>0</v>
      </c>
      <c r="CO27">
        <v>0</v>
      </c>
      <c r="CP27">
        <f t="shared" si="18"/>
        <v>38294.700000000004</v>
      </c>
      <c r="CQ27">
        <f t="shared" si="19"/>
        <v>3504.29</v>
      </c>
      <c r="CR27">
        <f t="shared" si="20"/>
        <v>119.61</v>
      </c>
      <c r="CS27">
        <f t="shared" si="21"/>
        <v>14.05</v>
      </c>
      <c r="CT27">
        <f t="shared" si="22"/>
        <v>407.12</v>
      </c>
      <c r="CU27">
        <f t="shared" si="23"/>
        <v>0</v>
      </c>
      <c r="CV27">
        <f t="shared" si="23"/>
        <v>47.23</v>
      </c>
      <c r="CW27">
        <f t="shared" si="23"/>
        <v>1.19</v>
      </c>
      <c r="CX27">
        <f t="shared" si="23"/>
        <v>0</v>
      </c>
      <c r="CY27">
        <f>((((S27+R27)*AT27)/100)*IF((1=1),1,0.6)*IF((0=0),1,1.2)*IF((1=1),1,0.9)*IF((1=1),1,0.7))</f>
        <v>4801.344</v>
      </c>
      <c r="CZ27">
        <f>((((S27+R27)*AU27)/100)*IF((1=1),1,0.9)*1)</f>
        <v>2600.728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1005</v>
      </c>
      <c r="DV27" t="s">
        <v>17</v>
      </c>
      <c r="DW27" t="s">
        <v>36</v>
      </c>
      <c r="DX27">
        <v>100</v>
      </c>
      <c r="EE27">
        <v>4020346</v>
      </c>
      <c r="EF27">
        <v>2</v>
      </c>
      <c r="EG27" t="s">
        <v>37</v>
      </c>
      <c r="EH27">
        <v>17</v>
      </c>
      <c r="EI27" t="s">
        <v>21</v>
      </c>
      <c r="EJ27">
        <v>1</v>
      </c>
      <c r="EK27">
        <v>18</v>
      </c>
      <c r="EL27" t="s">
        <v>21</v>
      </c>
      <c r="EM27" t="s">
        <v>38</v>
      </c>
      <c r="ET27">
        <v>9.5</v>
      </c>
      <c r="EU27">
        <v>2</v>
      </c>
    </row>
    <row r="28" spans="1:151" ht="12.75">
      <c r="A28">
        <v>17</v>
      </c>
      <c r="B28">
        <v>1</v>
      </c>
      <c r="C28">
        <f>ROW(SmtRes!A38)</f>
        <v>38</v>
      </c>
      <c r="E28">
        <v>5</v>
      </c>
      <c r="F28" t="s">
        <v>39</v>
      </c>
      <c r="G28" t="s">
        <v>40</v>
      </c>
      <c r="H28" t="s">
        <v>31</v>
      </c>
      <c r="I28">
        <v>0.6</v>
      </c>
      <c r="J28">
        <v>0</v>
      </c>
      <c r="O28">
        <f t="shared" si="2"/>
        <v>470.55</v>
      </c>
      <c r="P28">
        <f t="shared" si="3"/>
        <v>297.02</v>
      </c>
      <c r="Q28">
        <f t="shared" si="4"/>
        <v>6.56</v>
      </c>
      <c r="R28">
        <f t="shared" si="5"/>
        <v>1.28</v>
      </c>
      <c r="S28">
        <f t="shared" si="6"/>
        <v>166.97</v>
      </c>
      <c r="T28">
        <f t="shared" si="7"/>
        <v>0</v>
      </c>
      <c r="U28">
        <f t="shared" si="8"/>
        <v>19.1</v>
      </c>
      <c r="V28">
        <f t="shared" si="9"/>
        <v>0.11</v>
      </c>
      <c r="W28">
        <f t="shared" si="10"/>
        <v>0</v>
      </c>
      <c r="X28">
        <f t="shared" si="11"/>
        <v>144.7</v>
      </c>
      <c r="Y28">
        <f t="shared" si="11"/>
        <v>117.78</v>
      </c>
      <c r="AA28">
        <v>0</v>
      </c>
      <c r="AB28">
        <f t="shared" si="12"/>
        <v>784.26</v>
      </c>
      <c r="AC28">
        <f t="shared" si="13"/>
        <v>495.04</v>
      </c>
      <c r="AD28">
        <f t="shared" si="13"/>
        <v>10.94</v>
      </c>
      <c r="AE28">
        <f>(AN28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2.13</v>
      </c>
      <c r="AF28">
        <f>(AO28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278.28</v>
      </c>
      <c r="AG28">
        <f t="shared" si="15"/>
        <v>0</v>
      </c>
      <c r="AH28">
        <f>(AQ28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31.84</v>
      </c>
      <c r="AI28">
        <f>(AR28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0.18</v>
      </c>
      <c r="AJ28">
        <f t="shared" si="17"/>
        <v>0</v>
      </c>
      <c r="AK28">
        <v>784.26</v>
      </c>
      <c r="AL28">
        <v>495.04</v>
      </c>
      <c r="AM28">
        <v>10.94</v>
      </c>
      <c r="AN28">
        <v>2.13</v>
      </c>
      <c r="AO28">
        <v>278.28</v>
      </c>
      <c r="AP28">
        <v>0</v>
      </c>
      <c r="AQ28">
        <v>31.84</v>
      </c>
      <c r="AR28">
        <v>0.18</v>
      </c>
      <c r="AS28">
        <v>0</v>
      </c>
      <c r="AT28">
        <v>86</v>
      </c>
      <c r="AU28">
        <v>70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41</v>
      </c>
      <c r="BM28">
        <v>213</v>
      </c>
      <c r="BN28">
        <v>0</v>
      </c>
      <c r="BP28">
        <v>0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t="shared" si="18"/>
        <v>470.54999999999995</v>
      </c>
      <c r="CQ28">
        <f t="shared" si="19"/>
        <v>495.04</v>
      </c>
      <c r="CR28">
        <f t="shared" si="20"/>
        <v>10.94</v>
      </c>
      <c r="CS28">
        <f t="shared" si="21"/>
        <v>2.13</v>
      </c>
      <c r="CT28">
        <f t="shared" si="22"/>
        <v>278.28</v>
      </c>
      <c r="CU28">
        <f t="shared" si="23"/>
        <v>0</v>
      </c>
      <c r="CV28">
        <f t="shared" si="23"/>
        <v>31.84</v>
      </c>
      <c r="CW28">
        <f t="shared" si="23"/>
        <v>0.18</v>
      </c>
      <c r="CX28">
        <f t="shared" si="23"/>
        <v>0</v>
      </c>
      <c r="CY28">
        <f>((((S28+R28)*AT28)/100)*IF((1=1),1,0.6)*IF((0=0),1,1.2)*IF((1=1),1,0.7))</f>
        <v>144.695</v>
      </c>
      <c r="CZ28">
        <f>((((S28+R28)*AU28)/100)*IF((1=1),1,0.9))</f>
        <v>117.775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31</v>
      </c>
      <c r="DW28" t="s">
        <v>42</v>
      </c>
      <c r="DX28">
        <v>100</v>
      </c>
      <c r="EE28">
        <v>4020397</v>
      </c>
      <c r="EF28">
        <v>6</v>
      </c>
      <c r="EG28" t="s">
        <v>20</v>
      </c>
      <c r="EH28">
        <v>70</v>
      </c>
      <c r="EI28" t="s">
        <v>43</v>
      </c>
      <c r="EJ28">
        <v>1</v>
      </c>
      <c r="EK28">
        <v>213</v>
      </c>
      <c r="EL28" t="s">
        <v>43</v>
      </c>
      <c r="EM28" t="s">
        <v>44</v>
      </c>
      <c r="ET28">
        <v>0.6</v>
      </c>
      <c r="EU28">
        <v>2</v>
      </c>
    </row>
    <row r="29" spans="1:151" ht="409.5">
      <c r="A29">
        <v>17</v>
      </c>
      <c r="B29">
        <v>1</v>
      </c>
      <c r="C29">
        <f>ROW(SmtRes!A47)</f>
        <v>47</v>
      </c>
      <c r="E29">
        <v>6</v>
      </c>
      <c r="F29" t="s">
        <v>45</v>
      </c>
      <c r="G29" t="s">
        <v>46</v>
      </c>
      <c r="H29" t="s">
        <v>47</v>
      </c>
      <c r="I29">
        <v>0.1</v>
      </c>
      <c r="J29">
        <v>0</v>
      </c>
      <c r="O29">
        <f t="shared" si="2"/>
        <v>479.22</v>
      </c>
      <c r="P29">
        <f t="shared" si="3"/>
        <v>2.24</v>
      </c>
      <c r="Q29">
        <f t="shared" si="4"/>
        <v>454.53</v>
      </c>
      <c r="R29">
        <f t="shared" si="5"/>
        <v>30.41</v>
      </c>
      <c r="S29">
        <f t="shared" si="6"/>
        <v>22.45</v>
      </c>
      <c r="T29">
        <f t="shared" si="7"/>
        <v>0</v>
      </c>
      <c r="U29">
        <f t="shared" si="8"/>
        <v>2.78</v>
      </c>
      <c r="V29">
        <f t="shared" si="9"/>
        <v>2.58</v>
      </c>
      <c r="W29">
        <f t="shared" si="10"/>
        <v>0</v>
      </c>
      <c r="X29">
        <f t="shared" si="11"/>
        <v>75.06</v>
      </c>
      <c r="Y29">
        <f t="shared" si="11"/>
        <v>50.22</v>
      </c>
      <c r="AA29">
        <v>0</v>
      </c>
      <c r="AB29">
        <f t="shared" si="12"/>
        <v>4792.1539999999995</v>
      </c>
      <c r="AC29">
        <f>AL29</f>
        <v>22.4</v>
      </c>
      <c r="AD29">
        <f>(AM29*1.25)</f>
        <v>4545.2625</v>
      </c>
      <c r="AE29">
        <f>((AN29*1*1*1*1*1*1*1*1*1*1*1*1*1*1*1*1*1*1*1*1*1*1*1*1*1*1*1*1)*1.25)</f>
        <v>304.1</v>
      </c>
      <c r="AF29">
        <f>((AO29*1*1*1*1*1*1*1*1*1*1*1*1*1*1*1*1*1*1*1*1*1*1*1*1*1*1*1*1)*1.15)</f>
        <v>224.4915</v>
      </c>
      <c r="AG29">
        <f t="shared" si="15"/>
        <v>0</v>
      </c>
      <c r="AH29">
        <f>(AQ29*1*1*1*1*1*1*1*1*1*1*1*1*1*1*1*1*1*1*1*1*1*1*1*1*1*1*1)</f>
        <v>27.8185</v>
      </c>
      <c r="AI29">
        <f>(AR29*1*1*1*1*1*1*1*1*1*1*1*1*1*1*1*1*1*1*1*1*1*1*1*1*1*1*1)</f>
        <v>25.75</v>
      </c>
      <c r="AJ29">
        <f t="shared" si="17"/>
        <v>0</v>
      </c>
      <c r="AK29">
        <v>3853.82</v>
      </c>
      <c r="AL29">
        <v>22.4</v>
      </c>
      <c r="AM29">
        <v>3636.21</v>
      </c>
      <c r="AN29">
        <v>243.28</v>
      </c>
      <c r="AO29">
        <v>195.21</v>
      </c>
      <c r="AP29">
        <v>0</v>
      </c>
      <c r="AQ29">
        <v>27.8185</v>
      </c>
      <c r="AR29">
        <v>25.75</v>
      </c>
      <c r="AS29">
        <v>0</v>
      </c>
      <c r="AT29">
        <v>142</v>
      </c>
      <c r="AU29">
        <v>95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48</v>
      </c>
      <c r="BM29">
        <v>30</v>
      </c>
      <c r="BN29">
        <v>0</v>
      </c>
      <c r="BP29">
        <v>0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N29" t="s">
        <v>334</v>
      </c>
      <c r="CO29">
        <v>0</v>
      </c>
      <c r="CP29">
        <f t="shared" si="18"/>
        <v>479.21999999999997</v>
      </c>
      <c r="CQ29">
        <f t="shared" si="19"/>
        <v>22.4</v>
      </c>
      <c r="CR29">
        <f t="shared" si="20"/>
        <v>4545.2625</v>
      </c>
      <c r="CS29">
        <f t="shared" si="21"/>
        <v>304.1</v>
      </c>
      <c r="CT29">
        <f t="shared" si="22"/>
        <v>224.4915</v>
      </c>
      <c r="CU29">
        <f t="shared" si="23"/>
        <v>0</v>
      </c>
      <c r="CV29">
        <f t="shared" si="23"/>
        <v>27.8185</v>
      </c>
      <c r="CW29">
        <f t="shared" si="23"/>
        <v>25.75</v>
      </c>
      <c r="CX29">
        <f t="shared" si="23"/>
        <v>0</v>
      </c>
      <c r="CY29">
        <f>((((S29+R29)*AT29)/100)*IF((1=1),1,0.6)*IF((0=0),1,1.2)*IF((1=1),1,0.9)*IF((1=1),1,0.7))</f>
        <v>75.0612</v>
      </c>
      <c r="CZ29">
        <f>((((S29+R29)*AU29)/100)*IF((1=1),1,0.9)*1)</f>
        <v>50.217</v>
      </c>
      <c r="DE29" t="s">
        <v>49</v>
      </c>
      <c r="DF29" t="s">
        <v>49</v>
      </c>
      <c r="DG29" t="s">
        <v>50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47</v>
      </c>
      <c r="DW29" t="s">
        <v>51</v>
      </c>
      <c r="DX29">
        <v>100</v>
      </c>
      <c r="EE29">
        <v>4020357</v>
      </c>
      <c r="EF29">
        <v>2</v>
      </c>
      <c r="EG29" t="s">
        <v>37</v>
      </c>
      <c r="EH29">
        <v>28</v>
      </c>
      <c r="EI29" t="s">
        <v>52</v>
      </c>
      <c r="EJ29">
        <v>1</v>
      </c>
      <c r="EK29">
        <v>30</v>
      </c>
      <c r="EL29" t="s">
        <v>52</v>
      </c>
      <c r="EM29" t="s">
        <v>53</v>
      </c>
      <c r="EN29" s="2" t="s">
        <v>335</v>
      </c>
      <c r="ET29">
        <v>0.1</v>
      </c>
      <c r="EU29">
        <v>2</v>
      </c>
    </row>
    <row r="30" spans="1:151" ht="409.5">
      <c r="A30">
        <v>18</v>
      </c>
      <c r="B30">
        <v>1</v>
      </c>
      <c r="E30" t="s">
        <v>54</v>
      </c>
      <c r="F30" t="s">
        <v>55</v>
      </c>
      <c r="G30" t="s">
        <v>56</v>
      </c>
      <c r="H30" t="s">
        <v>57</v>
      </c>
      <c r="I30">
        <f>I29*J30</f>
        <v>10</v>
      </c>
      <c r="J30">
        <v>100</v>
      </c>
      <c r="O30">
        <f t="shared" si="2"/>
        <v>1617.6</v>
      </c>
      <c r="P30">
        <f t="shared" si="3"/>
        <v>1617.6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1"/>
        <v>0</v>
      </c>
      <c r="AA30">
        <v>0</v>
      </c>
      <c r="AB30">
        <f t="shared" si="12"/>
        <v>161.76</v>
      </c>
      <c r="AC30">
        <f>AL30</f>
        <v>161.76</v>
      </c>
      <c r="AD30">
        <f>(AM30*1.25)</f>
        <v>0</v>
      </c>
      <c r="AE30">
        <f>((AN30*1*1*1*1*1*1*1*1*1*1*1*1*1*1*1*1*1*1*1*1*1*1*1*1*1*1*1*1)*1.25)</f>
        <v>0</v>
      </c>
      <c r="AF30">
        <f>((AO30*1*1*1*1*1*1*1*1*1*1*1*1*1*1*1*1*1*1*1*1*1*1*1*1*1*1*1*1)*1.15)</f>
        <v>0</v>
      </c>
      <c r="AG30">
        <f t="shared" si="15"/>
        <v>0</v>
      </c>
      <c r="AH30">
        <f>(AQ30*1*1*1*1*1*1*1*1*1*1*1*1*1*1*1*1*1*1*1*1*1*1*1*1*1*1*1)</f>
        <v>0</v>
      </c>
      <c r="AI30">
        <f>(AR30*1*1*1*1*1*1*1*1*1*1*1*1*1*1*1*1*1*1*1*1*1*1*1*1*1*1*1)</f>
        <v>0</v>
      </c>
      <c r="AJ30">
        <f t="shared" si="17"/>
        <v>0</v>
      </c>
      <c r="AK30">
        <v>161.76</v>
      </c>
      <c r="AL30">
        <v>161.76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142</v>
      </c>
      <c r="AU30">
        <v>95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1</v>
      </c>
      <c r="BJ30" t="s">
        <v>58</v>
      </c>
      <c r="BM30">
        <v>30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N30" t="s">
        <v>334</v>
      </c>
      <c r="CO30">
        <v>0</v>
      </c>
      <c r="CP30">
        <f t="shared" si="18"/>
        <v>1617.6</v>
      </c>
      <c r="CQ30">
        <f t="shared" si="19"/>
        <v>161.76</v>
      </c>
      <c r="CR30">
        <f t="shared" si="20"/>
        <v>0</v>
      </c>
      <c r="CS30">
        <f t="shared" si="21"/>
        <v>0</v>
      </c>
      <c r="CT30">
        <f t="shared" si="22"/>
        <v>0</v>
      </c>
      <c r="CU30">
        <f t="shared" si="23"/>
        <v>0</v>
      </c>
      <c r="CV30">
        <f t="shared" si="23"/>
        <v>0</v>
      </c>
      <c r="CW30">
        <f t="shared" si="23"/>
        <v>0</v>
      </c>
      <c r="CX30">
        <f t="shared" si="23"/>
        <v>0</v>
      </c>
      <c r="CY30">
        <f>((((S30+R30)*AT30)/100)*IF((1=1),1,0.6)*IF((0=0),1,1.2)*IF((1=1),1,0.9)*IF((1=1),1,0.7))</f>
        <v>0</v>
      </c>
      <c r="CZ30">
        <f>((((S30+R30)*AU30)/100)*IF((1=1),1,0.9)*1)</f>
        <v>0</v>
      </c>
      <c r="DE30" t="s">
        <v>49</v>
      </c>
      <c r="DF30" t="s">
        <v>49</v>
      </c>
      <c r="DG30" t="s">
        <v>50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57</v>
      </c>
      <c r="DW30" t="s">
        <v>57</v>
      </c>
      <c r="DX30">
        <v>1</v>
      </c>
      <c r="EE30">
        <v>4020357</v>
      </c>
      <c r="EF30">
        <v>2</v>
      </c>
      <c r="EG30" t="s">
        <v>37</v>
      </c>
      <c r="EH30">
        <v>28</v>
      </c>
      <c r="EI30" t="s">
        <v>52</v>
      </c>
      <c r="EJ30">
        <v>1</v>
      </c>
      <c r="EK30">
        <v>30</v>
      </c>
      <c r="EL30" t="s">
        <v>52</v>
      </c>
      <c r="EM30" t="s">
        <v>53</v>
      </c>
      <c r="EN30" s="2" t="s">
        <v>335</v>
      </c>
      <c r="ET30">
        <v>10</v>
      </c>
      <c r="EU30">
        <v>2</v>
      </c>
    </row>
    <row r="31" spans="1:151" ht="12.75">
      <c r="A31">
        <v>17</v>
      </c>
      <c r="B31">
        <v>1</v>
      </c>
      <c r="C31">
        <f>ROW(SmtRes!A54)</f>
        <v>54</v>
      </c>
      <c r="E31">
        <v>7</v>
      </c>
      <c r="F31" t="s">
        <v>59</v>
      </c>
      <c r="G31" t="s">
        <v>60</v>
      </c>
      <c r="H31" t="s">
        <v>61</v>
      </c>
      <c r="I31">
        <v>0.2</v>
      </c>
      <c r="J31">
        <v>0</v>
      </c>
      <c r="O31">
        <f t="shared" si="2"/>
        <v>8565.65</v>
      </c>
      <c r="P31">
        <f t="shared" si="3"/>
        <v>7782.33</v>
      </c>
      <c r="Q31">
        <f t="shared" si="4"/>
        <v>618.57</v>
      </c>
      <c r="R31">
        <f t="shared" si="5"/>
        <v>73.74</v>
      </c>
      <c r="S31">
        <f t="shared" si="6"/>
        <v>164.75</v>
      </c>
      <c r="T31">
        <f t="shared" si="7"/>
        <v>0</v>
      </c>
      <c r="U31">
        <f t="shared" si="8"/>
        <v>17.14</v>
      </c>
      <c r="V31">
        <f t="shared" si="9"/>
        <v>6.24</v>
      </c>
      <c r="W31">
        <f t="shared" si="10"/>
        <v>0</v>
      </c>
      <c r="X31">
        <f t="shared" si="11"/>
        <v>248.03</v>
      </c>
      <c r="Y31">
        <f t="shared" si="11"/>
        <v>143.09</v>
      </c>
      <c r="AA31">
        <v>0</v>
      </c>
      <c r="AB31">
        <f t="shared" si="12"/>
        <v>42828.259999999995</v>
      </c>
      <c r="AC31">
        <f>AL31</f>
        <v>38911.63</v>
      </c>
      <c r="AD31">
        <f>AM31</f>
        <v>3092.86</v>
      </c>
      <c r="AE31">
        <f>(AN31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368.71</v>
      </c>
      <c r="AF31">
        <f>(AO31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823.77</v>
      </c>
      <c r="AG31">
        <f t="shared" si="15"/>
        <v>0</v>
      </c>
      <c r="AH31">
        <f>(AQ31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85.72</v>
      </c>
      <c r="AI31">
        <f>(AR31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31.22</v>
      </c>
      <c r="AJ31">
        <f t="shared" si="17"/>
        <v>0</v>
      </c>
      <c r="AK31">
        <v>42828.26</v>
      </c>
      <c r="AL31">
        <v>38911.63</v>
      </c>
      <c r="AM31">
        <v>3092.86</v>
      </c>
      <c r="AN31">
        <v>368.71</v>
      </c>
      <c r="AO31">
        <v>823.77</v>
      </c>
      <c r="AP31">
        <v>0</v>
      </c>
      <c r="AQ31">
        <v>85.72</v>
      </c>
      <c r="AR31">
        <v>31.22</v>
      </c>
      <c r="AS31">
        <v>0</v>
      </c>
      <c r="AT31">
        <v>104</v>
      </c>
      <c r="AU31">
        <v>60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62</v>
      </c>
      <c r="BM31">
        <v>230</v>
      </c>
      <c r="BN31">
        <v>0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CF31">
        <v>0</v>
      </c>
      <c r="CG31">
        <v>0</v>
      </c>
      <c r="CM31">
        <v>0</v>
      </c>
      <c r="CO31">
        <v>0</v>
      </c>
      <c r="CP31">
        <f t="shared" si="18"/>
        <v>8565.65</v>
      </c>
      <c r="CQ31">
        <f t="shared" si="19"/>
        <v>38911.63</v>
      </c>
      <c r="CR31">
        <f t="shared" si="20"/>
        <v>3092.86</v>
      </c>
      <c r="CS31">
        <f t="shared" si="21"/>
        <v>368.71</v>
      </c>
      <c r="CT31">
        <f t="shared" si="22"/>
        <v>823.77</v>
      </c>
      <c r="CU31">
        <f t="shared" si="23"/>
        <v>0</v>
      </c>
      <c r="CV31">
        <f t="shared" si="23"/>
        <v>85.72</v>
      </c>
      <c r="CW31">
        <f t="shared" si="23"/>
        <v>31.22</v>
      </c>
      <c r="CX31">
        <f t="shared" si="23"/>
        <v>0</v>
      </c>
      <c r="CY31">
        <f>((((S31+R31)*AT31)/100)*IF((1=1),1,0.6)*IF((0=0),1,1.2)*IF((1=1),1,0.7))</f>
        <v>248.0296</v>
      </c>
      <c r="CZ31">
        <f>((((S31+R31)*AU31)/100)*IF((1=1),1,0.9))</f>
        <v>143.09400000000002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61</v>
      </c>
      <c r="DW31" t="s">
        <v>63</v>
      </c>
      <c r="DX31">
        <v>100000</v>
      </c>
      <c r="EE31">
        <v>4020414</v>
      </c>
      <c r="EF31">
        <v>6</v>
      </c>
      <c r="EG31" t="s">
        <v>20</v>
      </c>
      <c r="EH31">
        <v>78</v>
      </c>
      <c r="EI31" t="s">
        <v>64</v>
      </c>
      <c r="EJ31">
        <v>1</v>
      </c>
      <c r="EK31">
        <v>230</v>
      </c>
      <c r="EL31" t="s">
        <v>64</v>
      </c>
      <c r="EM31" t="s">
        <v>65</v>
      </c>
      <c r="ET31">
        <v>0.2</v>
      </c>
      <c r="EU31">
        <v>2</v>
      </c>
    </row>
    <row r="33" spans="1:39" ht="12.75">
      <c r="A33" s="3">
        <v>51</v>
      </c>
      <c r="B33" s="3">
        <f>B20</f>
        <v>1</v>
      </c>
      <c r="C33" s="3">
        <f>A20</f>
        <v>3</v>
      </c>
      <c r="D33" s="3">
        <f>ROW(A20)</f>
        <v>20</v>
      </c>
      <c r="E33" s="3"/>
      <c r="F33" s="3" t="str">
        <f>IF(F20&lt;&gt;"",F20,"")</f>
        <v>Новая локальная смета</v>
      </c>
      <c r="G33" s="3" t="str">
        <f>IF(G20&lt;&gt;"",G20,"")</f>
        <v>Новая локальная смета</v>
      </c>
      <c r="H33" s="3"/>
      <c r="I33" s="3"/>
      <c r="J33" s="3"/>
      <c r="K33" s="3"/>
      <c r="L33" s="3"/>
      <c r="M33" s="3"/>
      <c r="N33" s="3"/>
      <c r="O33" s="3">
        <f aca="true" t="shared" si="24" ref="O33:Y33">ROUND(AB33,2)</f>
        <v>58676</v>
      </c>
      <c r="P33" s="3">
        <f t="shared" si="24"/>
        <v>49487.51</v>
      </c>
      <c r="Q33" s="3">
        <f t="shared" si="24"/>
        <v>2249.76</v>
      </c>
      <c r="R33" s="3">
        <f t="shared" si="24"/>
        <v>243.06</v>
      </c>
      <c r="S33" s="3">
        <f t="shared" si="24"/>
        <v>6938.73</v>
      </c>
      <c r="T33" s="3">
        <f t="shared" si="24"/>
        <v>0</v>
      </c>
      <c r="U33" s="3">
        <f t="shared" si="24"/>
        <v>827.48</v>
      </c>
      <c r="V33" s="3">
        <f t="shared" si="24"/>
        <v>20.69</v>
      </c>
      <c r="W33" s="3">
        <f t="shared" si="24"/>
        <v>0</v>
      </c>
      <c r="X33" s="3">
        <f t="shared" si="24"/>
        <v>7527.62</v>
      </c>
      <c r="Y33" s="3">
        <f t="shared" si="24"/>
        <v>4680.52</v>
      </c>
      <c r="Z33" s="3"/>
      <c r="AA33" s="3"/>
      <c r="AB33" s="3">
        <f>ROUND(SUMIF(AA24:AA31,"=0",O24:O31),2)</f>
        <v>58676</v>
      </c>
      <c r="AC33" s="3">
        <f>ROUND(SUMIF(AA24:AA31,"=0",P24:P31),2)</f>
        <v>49487.51</v>
      </c>
      <c r="AD33" s="3">
        <f>ROUND(SUMIF(AA24:AA31,"=0",Q24:Q31),2)</f>
        <v>2249.76</v>
      </c>
      <c r="AE33" s="3">
        <f>ROUND(SUMIF(AA24:AA31,"=0",R24:R31),2)</f>
        <v>243.06</v>
      </c>
      <c r="AF33" s="3">
        <f>ROUND(SUMIF(AA24:AA31,"=0",S24:S31),2)</f>
        <v>6938.73</v>
      </c>
      <c r="AG33" s="3">
        <f>ROUND(SUMIF(AA24:AA31,"=0",T24:T31),2)</f>
        <v>0</v>
      </c>
      <c r="AH33" s="3">
        <f>ROUND(SUMIF(AA24:AA31,"=0",U24:U31),2)</f>
        <v>827.48</v>
      </c>
      <c r="AI33" s="3">
        <f>ROUND(SUMIF(AA24:AA31,"=0",V24:V31),2)</f>
        <v>20.69</v>
      </c>
      <c r="AJ33" s="3">
        <f>ROUND(SUMIF(AA24:AA31,"=0",W24:W31),2)</f>
        <v>0</v>
      </c>
      <c r="AK33" s="3">
        <f>ROUND(SUMIF(AA24:AA31,"=0",X24:X31),2)</f>
        <v>7527.62</v>
      </c>
      <c r="AL33" s="3">
        <f>ROUND(SUMIF(AA24:AA31,"=0",Y24:Y31),2)</f>
        <v>4680.52</v>
      </c>
      <c r="AM33" s="3">
        <v>0</v>
      </c>
    </row>
    <row r="35" spans="1:14" ht="12.75">
      <c r="A35" s="4">
        <v>50</v>
      </c>
      <c r="B35" s="4">
        <v>0</v>
      </c>
      <c r="C35" s="4">
        <v>0</v>
      </c>
      <c r="D35" s="4">
        <v>1</v>
      </c>
      <c r="E35" s="4">
        <v>0</v>
      </c>
      <c r="F35" s="4">
        <f>Source!O33</f>
        <v>58676</v>
      </c>
      <c r="G35" s="4" t="s">
        <v>66</v>
      </c>
      <c r="H35" s="4" t="s">
        <v>67</v>
      </c>
      <c r="I35" s="4"/>
      <c r="J35" s="4"/>
      <c r="K35" s="4">
        <v>201</v>
      </c>
      <c r="L35" s="4">
        <v>1</v>
      </c>
      <c r="M35" s="4">
        <v>3</v>
      </c>
      <c r="N35" s="4" t="s">
        <v>6</v>
      </c>
    </row>
    <row r="36" spans="1:14" ht="12.75">
      <c r="A36" s="4">
        <v>50</v>
      </c>
      <c r="B36" s="4">
        <v>0</v>
      </c>
      <c r="C36" s="4">
        <v>0</v>
      </c>
      <c r="D36" s="4">
        <v>1</v>
      </c>
      <c r="E36" s="4">
        <v>202</v>
      </c>
      <c r="F36" s="4">
        <f>Source!P33</f>
        <v>49487.51</v>
      </c>
      <c r="G36" s="4" t="s">
        <v>68</v>
      </c>
      <c r="H36" s="4" t="s">
        <v>69</v>
      </c>
      <c r="I36" s="4"/>
      <c r="J36" s="4"/>
      <c r="K36" s="4">
        <v>202</v>
      </c>
      <c r="L36" s="4">
        <v>2</v>
      </c>
      <c r="M36" s="4">
        <v>3</v>
      </c>
      <c r="N36" s="4" t="s">
        <v>6</v>
      </c>
    </row>
    <row r="37" spans="1:14" ht="12.75">
      <c r="A37" s="4">
        <v>50</v>
      </c>
      <c r="B37" s="4">
        <v>0</v>
      </c>
      <c r="C37" s="4">
        <v>0</v>
      </c>
      <c r="D37" s="4">
        <v>1</v>
      </c>
      <c r="E37" s="4">
        <v>203</v>
      </c>
      <c r="F37" s="4">
        <f>Source!Q33</f>
        <v>2249.76</v>
      </c>
      <c r="G37" s="4" t="s">
        <v>70</v>
      </c>
      <c r="H37" s="4" t="s">
        <v>71</v>
      </c>
      <c r="I37" s="4"/>
      <c r="J37" s="4"/>
      <c r="K37" s="4">
        <v>203</v>
      </c>
      <c r="L37" s="4">
        <v>3</v>
      </c>
      <c r="M37" s="4">
        <v>3</v>
      </c>
      <c r="N37" s="4" t="s">
        <v>6</v>
      </c>
    </row>
    <row r="38" spans="1:14" ht="12.75">
      <c r="A38" s="4">
        <v>50</v>
      </c>
      <c r="B38" s="4">
        <v>0</v>
      </c>
      <c r="C38" s="4">
        <v>0</v>
      </c>
      <c r="D38" s="4">
        <v>1</v>
      </c>
      <c r="E38" s="4">
        <v>204</v>
      </c>
      <c r="F38" s="4">
        <f>Source!R33</f>
        <v>243.06</v>
      </c>
      <c r="G38" s="4" t="s">
        <v>72</v>
      </c>
      <c r="H38" s="4" t="s">
        <v>73</v>
      </c>
      <c r="I38" s="4"/>
      <c r="J38" s="4"/>
      <c r="K38" s="4">
        <v>204</v>
      </c>
      <c r="L38" s="4">
        <v>4</v>
      </c>
      <c r="M38" s="4">
        <v>3</v>
      </c>
      <c r="N38" s="4" t="s">
        <v>6</v>
      </c>
    </row>
    <row r="39" spans="1:14" ht="12.75">
      <c r="A39" s="4">
        <v>50</v>
      </c>
      <c r="B39" s="4">
        <v>0</v>
      </c>
      <c r="C39" s="4">
        <v>0</v>
      </c>
      <c r="D39" s="4">
        <v>1</v>
      </c>
      <c r="E39" s="4">
        <v>205</v>
      </c>
      <c r="F39" s="4">
        <f>Source!S33</f>
        <v>6938.73</v>
      </c>
      <c r="G39" s="4" t="s">
        <v>74</v>
      </c>
      <c r="H39" s="4" t="s">
        <v>75</v>
      </c>
      <c r="I39" s="4"/>
      <c r="J39" s="4"/>
      <c r="K39" s="4">
        <v>205</v>
      </c>
      <c r="L39" s="4">
        <v>5</v>
      </c>
      <c r="M39" s="4">
        <v>3</v>
      </c>
      <c r="N39" s="4" t="s">
        <v>6</v>
      </c>
    </row>
    <row r="40" spans="1:14" ht="12.75">
      <c r="A40" s="4">
        <v>50</v>
      </c>
      <c r="B40" s="4">
        <v>0</v>
      </c>
      <c r="C40" s="4">
        <v>0</v>
      </c>
      <c r="D40" s="4">
        <v>1</v>
      </c>
      <c r="E40" s="4">
        <v>206</v>
      </c>
      <c r="F40" s="4">
        <f>Source!T33</f>
        <v>0</v>
      </c>
      <c r="G40" s="4" t="s">
        <v>76</v>
      </c>
      <c r="H40" s="4" t="s">
        <v>77</v>
      </c>
      <c r="I40" s="4"/>
      <c r="J40" s="4"/>
      <c r="K40" s="4">
        <v>206</v>
      </c>
      <c r="L40" s="4">
        <v>6</v>
      </c>
      <c r="M40" s="4">
        <v>3</v>
      </c>
      <c r="N40" s="4" t="s">
        <v>6</v>
      </c>
    </row>
    <row r="41" spans="1:14" ht="12.75">
      <c r="A41" s="4">
        <v>50</v>
      </c>
      <c r="B41" s="4">
        <v>0</v>
      </c>
      <c r="C41" s="4">
        <v>0</v>
      </c>
      <c r="D41" s="4">
        <v>1</v>
      </c>
      <c r="E41" s="4">
        <v>207</v>
      </c>
      <c r="F41" s="4">
        <f>Source!U33</f>
        <v>827.48</v>
      </c>
      <c r="G41" s="4" t="s">
        <v>78</v>
      </c>
      <c r="H41" s="4" t="s">
        <v>79</v>
      </c>
      <c r="I41" s="4"/>
      <c r="J41" s="4"/>
      <c r="K41" s="4">
        <v>207</v>
      </c>
      <c r="L41" s="4">
        <v>7</v>
      </c>
      <c r="M41" s="4">
        <v>3</v>
      </c>
      <c r="N41" s="4" t="s">
        <v>6</v>
      </c>
    </row>
    <row r="42" spans="1:14" ht="12.75">
      <c r="A42" s="4">
        <v>50</v>
      </c>
      <c r="B42" s="4">
        <v>0</v>
      </c>
      <c r="C42" s="4">
        <v>0</v>
      </c>
      <c r="D42" s="4">
        <v>1</v>
      </c>
      <c r="E42" s="4">
        <v>208</v>
      </c>
      <c r="F42" s="4">
        <f>Source!V33</f>
        <v>20.69</v>
      </c>
      <c r="G42" s="4" t="s">
        <v>80</v>
      </c>
      <c r="H42" s="4" t="s">
        <v>81</v>
      </c>
      <c r="I42" s="4"/>
      <c r="J42" s="4"/>
      <c r="K42" s="4">
        <v>208</v>
      </c>
      <c r="L42" s="4">
        <v>8</v>
      </c>
      <c r="M42" s="4">
        <v>3</v>
      </c>
      <c r="N42" s="4" t="s">
        <v>6</v>
      </c>
    </row>
    <row r="43" spans="1:14" ht="12.75">
      <c r="A43" s="4">
        <v>50</v>
      </c>
      <c r="B43" s="4">
        <v>0</v>
      </c>
      <c r="C43" s="4">
        <v>0</v>
      </c>
      <c r="D43" s="4">
        <v>1</v>
      </c>
      <c r="E43" s="4">
        <v>209</v>
      </c>
      <c r="F43" s="4">
        <f>Source!W33</f>
        <v>0</v>
      </c>
      <c r="G43" s="4" t="s">
        <v>82</v>
      </c>
      <c r="H43" s="4" t="s">
        <v>83</v>
      </c>
      <c r="I43" s="4"/>
      <c r="J43" s="4"/>
      <c r="K43" s="4">
        <v>209</v>
      </c>
      <c r="L43" s="4">
        <v>9</v>
      </c>
      <c r="M43" s="4">
        <v>3</v>
      </c>
      <c r="N43" s="4" t="s">
        <v>6</v>
      </c>
    </row>
    <row r="44" spans="1:14" ht="12.75">
      <c r="A44" s="4">
        <v>50</v>
      </c>
      <c r="B44" s="4">
        <v>0</v>
      </c>
      <c r="C44" s="4">
        <v>0</v>
      </c>
      <c r="D44" s="4">
        <v>1</v>
      </c>
      <c r="E44" s="4">
        <v>0</v>
      </c>
      <c r="F44" s="4">
        <f>Source!X33</f>
        <v>7527.62</v>
      </c>
      <c r="G44" s="4" t="s">
        <v>84</v>
      </c>
      <c r="H44" s="4" t="s">
        <v>85</v>
      </c>
      <c r="I44" s="4"/>
      <c r="J44" s="4"/>
      <c r="K44" s="4">
        <v>210</v>
      </c>
      <c r="L44" s="4">
        <v>10</v>
      </c>
      <c r="M44" s="4">
        <v>3</v>
      </c>
      <c r="N44" s="4" t="s">
        <v>6</v>
      </c>
    </row>
    <row r="45" spans="1:14" ht="12.75">
      <c r="A45" s="4">
        <v>50</v>
      </c>
      <c r="B45" s="4">
        <v>0</v>
      </c>
      <c r="C45" s="4">
        <v>0</v>
      </c>
      <c r="D45" s="4">
        <v>1</v>
      </c>
      <c r="E45" s="4">
        <v>0</v>
      </c>
      <c r="F45" s="4">
        <f>Source!Y33</f>
        <v>4680.52</v>
      </c>
      <c r="G45" s="4" t="s">
        <v>86</v>
      </c>
      <c r="H45" s="4" t="s">
        <v>87</v>
      </c>
      <c r="I45" s="4"/>
      <c r="J45" s="4"/>
      <c r="K45" s="4">
        <v>211</v>
      </c>
      <c r="L45" s="4">
        <v>11</v>
      </c>
      <c r="M45" s="4">
        <v>3</v>
      </c>
      <c r="N45" s="4" t="s">
        <v>6</v>
      </c>
    </row>
    <row r="46" spans="1:14" ht="12.75">
      <c r="A46" s="4">
        <v>50</v>
      </c>
      <c r="B46" s="4">
        <v>1</v>
      </c>
      <c r="C46" s="4">
        <v>0</v>
      </c>
      <c r="D46" s="4">
        <v>2</v>
      </c>
      <c r="E46" s="4">
        <v>201</v>
      </c>
      <c r="F46" s="4">
        <f>ROUND(ROUND(Source!F35,0),2)</f>
        <v>58676</v>
      </c>
      <c r="G46" s="4" t="s">
        <v>88</v>
      </c>
      <c r="H46" s="4" t="s">
        <v>89</v>
      </c>
      <c r="I46" s="4"/>
      <c r="J46" s="4"/>
      <c r="K46" s="4">
        <v>212</v>
      </c>
      <c r="L46" s="4">
        <v>12</v>
      </c>
      <c r="M46" s="4">
        <v>0</v>
      </c>
      <c r="N46" s="4" t="s">
        <v>6</v>
      </c>
    </row>
    <row r="47" spans="1:14" ht="12.75">
      <c r="A47" s="4">
        <v>50</v>
      </c>
      <c r="B47" s="4">
        <v>1</v>
      </c>
      <c r="C47" s="4">
        <v>0</v>
      </c>
      <c r="D47" s="4">
        <v>2</v>
      </c>
      <c r="E47" s="4">
        <v>210</v>
      </c>
      <c r="F47" s="4">
        <f>ROUND(ROUND(Source!F44,0),2)</f>
        <v>7528</v>
      </c>
      <c r="G47" s="4" t="s">
        <v>90</v>
      </c>
      <c r="H47" s="4" t="s">
        <v>85</v>
      </c>
      <c r="I47" s="4"/>
      <c r="J47" s="4"/>
      <c r="K47" s="4">
        <v>212</v>
      </c>
      <c r="L47" s="4">
        <v>13</v>
      </c>
      <c r="M47" s="4">
        <v>0</v>
      </c>
      <c r="N47" s="4" t="s">
        <v>6</v>
      </c>
    </row>
    <row r="48" spans="1:14" ht="12.75">
      <c r="A48" s="4">
        <v>50</v>
      </c>
      <c r="B48" s="4">
        <v>1</v>
      </c>
      <c r="C48" s="4">
        <v>0</v>
      </c>
      <c r="D48" s="4">
        <v>2</v>
      </c>
      <c r="E48" s="4">
        <v>211</v>
      </c>
      <c r="F48" s="4">
        <f>ROUND(ROUND(Source!F45,0),2)</f>
        <v>4681</v>
      </c>
      <c r="G48" s="4" t="s">
        <v>91</v>
      </c>
      <c r="H48" s="4" t="s">
        <v>87</v>
      </c>
      <c r="I48" s="4"/>
      <c r="J48" s="4"/>
      <c r="K48" s="4">
        <v>212</v>
      </c>
      <c r="L48" s="4">
        <v>14</v>
      </c>
      <c r="M48" s="4">
        <v>0</v>
      </c>
      <c r="N48" s="4" t="s">
        <v>6</v>
      </c>
    </row>
    <row r="49" spans="1:14" ht="12.75">
      <c r="A49" s="4">
        <v>50</v>
      </c>
      <c r="B49" s="4">
        <v>1</v>
      </c>
      <c r="C49" s="4">
        <v>0</v>
      </c>
      <c r="D49" s="4">
        <v>2</v>
      </c>
      <c r="E49" s="4">
        <v>0</v>
      </c>
      <c r="F49" s="4">
        <f>ROUND(Source!F46+Source!F47+Source!F48,2)</f>
        <v>70885</v>
      </c>
      <c r="G49" s="4" t="s">
        <v>92</v>
      </c>
      <c r="H49" s="4" t="s">
        <v>93</v>
      </c>
      <c r="I49" s="4"/>
      <c r="J49" s="4"/>
      <c r="K49" s="4">
        <v>212</v>
      </c>
      <c r="L49" s="4">
        <v>15</v>
      </c>
      <c r="M49" s="4">
        <v>0</v>
      </c>
      <c r="N49" s="4" t="s">
        <v>6</v>
      </c>
    </row>
    <row r="51" spans="1:39" ht="12.75">
      <c r="A51" s="3">
        <v>51</v>
      </c>
      <c r="B51" s="3">
        <f>B12</f>
        <v>1</v>
      </c>
      <c r="C51" s="3">
        <f>A12</f>
        <v>1</v>
      </c>
      <c r="D51" s="3">
        <f>ROW(A12)</f>
        <v>12</v>
      </c>
      <c r="E51" s="3"/>
      <c r="F51" s="3" t="str">
        <f>IF(F12&lt;&gt;"",F12,"")</f>
        <v>Новый объект</v>
      </c>
      <c r="G51" s="3" t="str">
        <f>IF(G12&lt;&gt;"",G12,"")</f>
        <v>Ремонт кровли д/сада "василек" в р.п.Мкулоовка</v>
      </c>
      <c r="H51" s="3"/>
      <c r="I51" s="3"/>
      <c r="J51" s="3"/>
      <c r="K51" s="3"/>
      <c r="L51" s="3"/>
      <c r="M51" s="3"/>
      <c r="N51" s="3"/>
      <c r="O51" s="3">
        <f aca="true" t="shared" si="25" ref="O51:Y51">ROUND(O33,2)</f>
        <v>58676</v>
      </c>
      <c r="P51" s="3">
        <f t="shared" si="25"/>
        <v>49487.51</v>
      </c>
      <c r="Q51" s="3">
        <f t="shared" si="25"/>
        <v>2249.76</v>
      </c>
      <c r="R51" s="3">
        <f t="shared" si="25"/>
        <v>243.06</v>
      </c>
      <c r="S51" s="3">
        <f t="shared" si="25"/>
        <v>6938.73</v>
      </c>
      <c r="T51" s="3">
        <f t="shared" si="25"/>
        <v>0</v>
      </c>
      <c r="U51" s="3">
        <f t="shared" si="25"/>
        <v>827.48</v>
      </c>
      <c r="V51" s="3">
        <f t="shared" si="25"/>
        <v>20.69</v>
      </c>
      <c r="W51" s="3">
        <f t="shared" si="25"/>
        <v>0</v>
      </c>
      <c r="X51" s="3">
        <f t="shared" si="25"/>
        <v>7527.62</v>
      </c>
      <c r="Y51" s="3">
        <f t="shared" si="25"/>
        <v>4680.52</v>
      </c>
      <c r="Z51" s="3"/>
      <c r="AA51" s="3"/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</row>
    <row r="53" spans="1:14" ht="12.75">
      <c r="A53" s="4">
        <v>50</v>
      </c>
      <c r="B53" s="4">
        <v>0</v>
      </c>
      <c r="C53" s="4">
        <v>0</v>
      </c>
      <c r="D53" s="4">
        <v>1</v>
      </c>
      <c r="E53" s="4">
        <v>201</v>
      </c>
      <c r="F53" s="4">
        <f>Source!O51</f>
        <v>58676</v>
      </c>
      <c r="G53" s="4" t="s">
        <v>66</v>
      </c>
      <c r="H53" s="4" t="s">
        <v>67</v>
      </c>
      <c r="I53" s="4"/>
      <c r="J53" s="4"/>
      <c r="K53" s="4">
        <v>201</v>
      </c>
      <c r="L53" s="4">
        <v>1</v>
      </c>
      <c r="M53" s="4">
        <v>3</v>
      </c>
      <c r="N53" s="4" t="s">
        <v>6</v>
      </c>
    </row>
    <row r="54" spans="1:14" ht="12.75">
      <c r="A54" s="4">
        <v>50</v>
      </c>
      <c r="B54" s="4">
        <v>0</v>
      </c>
      <c r="C54" s="4">
        <v>0</v>
      </c>
      <c r="D54" s="4">
        <v>1</v>
      </c>
      <c r="E54" s="4">
        <v>202</v>
      </c>
      <c r="F54" s="4">
        <f>Source!P51</f>
        <v>49487.51</v>
      </c>
      <c r="G54" s="4" t="s">
        <v>68</v>
      </c>
      <c r="H54" s="4" t="s">
        <v>69</v>
      </c>
      <c r="I54" s="4"/>
      <c r="J54" s="4"/>
      <c r="K54" s="4">
        <v>202</v>
      </c>
      <c r="L54" s="4">
        <v>2</v>
      </c>
      <c r="M54" s="4">
        <v>3</v>
      </c>
      <c r="N54" s="4" t="s">
        <v>6</v>
      </c>
    </row>
    <row r="55" spans="1:14" ht="12.75">
      <c r="A55" s="4">
        <v>50</v>
      </c>
      <c r="B55" s="4">
        <v>0</v>
      </c>
      <c r="C55" s="4">
        <v>0</v>
      </c>
      <c r="D55" s="4">
        <v>1</v>
      </c>
      <c r="E55" s="4">
        <v>203</v>
      </c>
      <c r="F55" s="4">
        <f>Source!Q51</f>
        <v>2249.76</v>
      </c>
      <c r="G55" s="4" t="s">
        <v>70</v>
      </c>
      <c r="H55" s="4" t="s">
        <v>71</v>
      </c>
      <c r="I55" s="4"/>
      <c r="J55" s="4"/>
      <c r="K55" s="4">
        <v>203</v>
      </c>
      <c r="L55" s="4">
        <v>3</v>
      </c>
      <c r="M55" s="4">
        <v>3</v>
      </c>
      <c r="N55" s="4" t="s">
        <v>6</v>
      </c>
    </row>
    <row r="56" spans="1:14" ht="12.75">
      <c r="A56" s="4">
        <v>50</v>
      </c>
      <c r="B56" s="4">
        <v>0</v>
      </c>
      <c r="C56" s="4">
        <v>0</v>
      </c>
      <c r="D56" s="4">
        <v>1</v>
      </c>
      <c r="E56" s="4">
        <v>204</v>
      </c>
      <c r="F56" s="4">
        <f>Source!R51</f>
        <v>243.06</v>
      </c>
      <c r="G56" s="4" t="s">
        <v>72</v>
      </c>
      <c r="H56" s="4" t="s">
        <v>73</v>
      </c>
      <c r="I56" s="4"/>
      <c r="J56" s="4"/>
      <c r="K56" s="4">
        <v>204</v>
      </c>
      <c r="L56" s="4">
        <v>4</v>
      </c>
      <c r="M56" s="4">
        <v>3</v>
      </c>
      <c r="N56" s="4" t="s">
        <v>6</v>
      </c>
    </row>
    <row r="57" spans="1:14" ht="12.75">
      <c r="A57" s="4">
        <v>50</v>
      </c>
      <c r="B57" s="4">
        <v>0</v>
      </c>
      <c r="C57" s="4">
        <v>0</v>
      </c>
      <c r="D57" s="4">
        <v>1</v>
      </c>
      <c r="E57" s="4">
        <v>205</v>
      </c>
      <c r="F57" s="4">
        <f>Source!S51</f>
        <v>6938.73</v>
      </c>
      <c r="G57" s="4" t="s">
        <v>74</v>
      </c>
      <c r="H57" s="4" t="s">
        <v>75</v>
      </c>
      <c r="I57" s="4"/>
      <c r="J57" s="4"/>
      <c r="K57" s="4">
        <v>205</v>
      </c>
      <c r="L57" s="4">
        <v>5</v>
      </c>
      <c r="M57" s="4">
        <v>3</v>
      </c>
      <c r="N57" s="4" t="s">
        <v>6</v>
      </c>
    </row>
    <row r="58" spans="1:14" ht="12.75">
      <c r="A58" s="4">
        <v>50</v>
      </c>
      <c r="B58" s="4">
        <v>0</v>
      </c>
      <c r="C58" s="4">
        <v>0</v>
      </c>
      <c r="D58" s="4">
        <v>1</v>
      </c>
      <c r="E58" s="4">
        <v>206</v>
      </c>
      <c r="F58" s="4">
        <f>Source!T51</f>
        <v>0</v>
      </c>
      <c r="G58" s="4" t="s">
        <v>76</v>
      </c>
      <c r="H58" s="4" t="s">
        <v>77</v>
      </c>
      <c r="I58" s="4"/>
      <c r="J58" s="4"/>
      <c r="K58" s="4">
        <v>206</v>
      </c>
      <c r="L58" s="4">
        <v>6</v>
      </c>
      <c r="M58" s="4">
        <v>3</v>
      </c>
      <c r="N58" s="4" t="s">
        <v>6</v>
      </c>
    </row>
    <row r="59" spans="1:14" ht="12.75">
      <c r="A59" s="4">
        <v>50</v>
      </c>
      <c r="B59" s="4">
        <v>0</v>
      </c>
      <c r="C59" s="4">
        <v>0</v>
      </c>
      <c r="D59" s="4">
        <v>1</v>
      </c>
      <c r="E59" s="4">
        <v>207</v>
      </c>
      <c r="F59" s="4">
        <f>Source!U51</f>
        <v>827.48</v>
      </c>
      <c r="G59" s="4" t="s">
        <v>78</v>
      </c>
      <c r="H59" s="4" t="s">
        <v>79</v>
      </c>
      <c r="I59" s="4"/>
      <c r="J59" s="4"/>
      <c r="K59" s="4">
        <v>207</v>
      </c>
      <c r="L59" s="4">
        <v>7</v>
      </c>
      <c r="M59" s="4">
        <v>3</v>
      </c>
      <c r="N59" s="4" t="s">
        <v>6</v>
      </c>
    </row>
    <row r="60" spans="1:14" ht="12.75">
      <c r="A60" s="4">
        <v>50</v>
      </c>
      <c r="B60" s="4">
        <v>0</v>
      </c>
      <c r="C60" s="4">
        <v>0</v>
      </c>
      <c r="D60" s="4">
        <v>1</v>
      </c>
      <c r="E60" s="4">
        <v>208</v>
      </c>
      <c r="F60" s="4">
        <f>Source!V51</f>
        <v>20.69</v>
      </c>
      <c r="G60" s="4" t="s">
        <v>80</v>
      </c>
      <c r="H60" s="4" t="s">
        <v>81</v>
      </c>
      <c r="I60" s="4"/>
      <c r="J60" s="4"/>
      <c r="K60" s="4">
        <v>208</v>
      </c>
      <c r="L60" s="4">
        <v>8</v>
      </c>
      <c r="M60" s="4">
        <v>3</v>
      </c>
      <c r="N60" s="4" t="s">
        <v>6</v>
      </c>
    </row>
    <row r="61" spans="1:14" ht="12.75">
      <c r="A61" s="4">
        <v>50</v>
      </c>
      <c r="B61" s="4">
        <v>0</v>
      </c>
      <c r="C61" s="4">
        <v>0</v>
      </c>
      <c r="D61" s="4">
        <v>1</v>
      </c>
      <c r="E61" s="4">
        <v>209</v>
      </c>
      <c r="F61" s="4">
        <f>Source!W51</f>
        <v>0</v>
      </c>
      <c r="G61" s="4" t="s">
        <v>82</v>
      </c>
      <c r="H61" s="4" t="s">
        <v>83</v>
      </c>
      <c r="I61" s="4"/>
      <c r="J61" s="4"/>
      <c r="K61" s="4">
        <v>209</v>
      </c>
      <c r="L61" s="4">
        <v>9</v>
      </c>
      <c r="M61" s="4">
        <v>3</v>
      </c>
      <c r="N61" s="4" t="s">
        <v>6</v>
      </c>
    </row>
    <row r="62" spans="1:14" ht="12.75">
      <c r="A62" s="4">
        <v>50</v>
      </c>
      <c r="B62" s="4">
        <v>0</v>
      </c>
      <c r="C62" s="4">
        <v>0</v>
      </c>
      <c r="D62" s="4">
        <v>1</v>
      </c>
      <c r="E62" s="4">
        <v>210</v>
      </c>
      <c r="F62" s="4">
        <f>Source!X51</f>
        <v>7527.62</v>
      </c>
      <c r="G62" s="4" t="s">
        <v>84</v>
      </c>
      <c r="H62" s="4" t="s">
        <v>85</v>
      </c>
      <c r="I62" s="4"/>
      <c r="J62" s="4"/>
      <c r="K62" s="4">
        <v>210</v>
      </c>
      <c r="L62" s="4">
        <v>10</v>
      </c>
      <c r="M62" s="4">
        <v>3</v>
      </c>
      <c r="N62" s="4" t="s">
        <v>6</v>
      </c>
    </row>
    <row r="63" spans="1:14" ht="12.75">
      <c r="A63" s="4">
        <v>50</v>
      </c>
      <c r="B63" s="4">
        <v>0</v>
      </c>
      <c r="C63" s="4">
        <v>0</v>
      </c>
      <c r="D63" s="4">
        <v>1</v>
      </c>
      <c r="E63" s="4">
        <v>211</v>
      </c>
      <c r="F63" s="4">
        <f>Source!Y51</f>
        <v>4680.52</v>
      </c>
      <c r="G63" s="4" t="s">
        <v>86</v>
      </c>
      <c r="H63" s="4" t="s">
        <v>87</v>
      </c>
      <c r="I63" s="4"/>
      <c r="J63" s="4"/>
      <c r="K63" s="4">
        <v>211</v>
      </c>
      <c r="L63" s="4">
        <v>11</v>
      </c>
      <c r="M63" s="4">
        <v>3</v>
      </c>
      <c r="N63" s="4" t="s">
        <v>6</v>
      </c>
    </row>
    <row r="66" spans="1:13" ht="12.75">
      <c r="A66">
        <v>70</v>
      </c>
      <c r="B66">
        <v>1</v>
      </c>
      <c r="D66">
        <v>0</v>
      </c>
      <c r="E66" t="s">
        <v>94</v>
      </c>
      <c r="F66" t="s">
        <v>95</v>
      </c>
      <c r="G66">
        <v>1</v>
      </c>
      <c r="H66">
        <v>0.85</v>
      </c>
      <c r="I66" t="s">
        <v>96</v>
      </c>
      <c r="J66">
        <v>0</v>
      </c>
      <c r="K66">
        <v>0</v>
      </c>
    </row>
    <row r="67" spans="1:13" ht="12.75">
      <c r="A67">
        <v>70</v>
      </c>
      <c r="B67">
        <v>1</v>
      </c>
      <c r="D67">
        <v>0</v>
      </c>
      <c r="E67" t="s">
        <v>97</v>
      </c>
      <c r="F67" t="s">
        <v>98</v>
      </c>
      <c r="G67">
        <v>1</v>
      </c>
      <c r="H67">
        <v>0.94</v>
      </c>
      <c r="I67" t="s">
        <v>99</v>
      </c>
      <c r="J67">
        <v>0</v>
      </c>
      <c r="K67">
        <v>0</v>
      </c>
    </row>
    <row r="68" spans="1:13" ht="12.75">
      <c r="A68">
        <v>70</v>
      </c>
      <c r="B68">
        <v>1</v>
      </c>
      <c r="D68">
        <v>1</v>
      </c>
      <c r="E68" t="s">
        <v>100</v>
      </c>
      <c r="F68" t="s">
        <v>101</v>
      </c>
      <c r="G68">
        <v>1</v>
      </c>
      <c r="H68">
        <v>1</v>
      </c>
      <c r="I68" t="s">
        <v>102</v>
      </c>
      <c r="J68">
        <v>0</v>
      </c>
      <c r="K68">
        <v>0</v>
      </c>
    </row>
    <row r="69" spans="1:13" ht="12.75">
      <c r="A69">
        <v>70</v>
      </c>
      <c r="B69">
        <v>1</v>
      </c>
      <c r="D69">
        <v>55</v>
      </c>
      <c r="E69" t="s">
        <v>103</v>
      </c>
      <c r="F69" t="s">
        <v>104</v>
      </c>
      <c r="G69">
        <v>1</v>
      </c>
      <c r="H69">
        <v>1</v>
      </c>
      <c r="I69" t="s">
        <v>105</v>
      </c>
      <c r="J69">
        <v>0</v>
      </c>
      <c r="K69">
        <v>0</v>
      </c>
    </row>
    <row r="70" spans="1:13" ht="12.75">
      <c r="A70">
        <v>70</v>
      </c>
      <c r="B70">
        <v>1</v>
      </c>
      <c r="D70">
        <v>0</v>
      </c>
      <c r="E70" t="s">
        <v>106</v>
      </c>
      <c r="F70" t="s">
        <v>107</v>
      </c>
      <c r="G70">
        <v>0</v>
      </c>
      <c r="H70">
        <v>0</v>
      </c>
      <c r="I70" t="s">
        <v>108</v>
      </c>
      <c r="J70">
        <v>0</v>
      </c>
      <c r="K70">
        <v>0</v>
      </c>
    </row>
    <row r="71" spans="1:13" ht="12.75">
      <c r="A71">
        <v>70</v>
      </c>
      <c r="B71">
        <v>1</v>
      </c>
      <c r="D71">
        <v>52</v>
      </c>
      <c r="E71" t="s">
        <v>109</v>
      </c>
      <c r="F71" t="s">
        <v>110</v>
      </c>
      <c r="G71">
        <v>1</v>
      </c>
      <c r="H71">
        <v>1</v>
      </c>
      <c r="I71" t="s">
        <v>111</v>
      </c>
      <c r="J71">
        <v>0</v>
      </c>
      <c r="K71">
        <v>0</v>
      </c>
    </row>
    <row r="72" spans="1:13" ht="12.75">
      <c r="A72">
        <v>70</v>
      </c>
      <c r="B72">
        <v>1</v>
      </c>
      <c r="D72">
        <v>56</v>
      </c>
      <c r="E72" t="s">
        <v>112</v>
      </c>
      <c r="F72" t="s">
        <v>113</v>
      </c>
      <c r="G72">
        <v>1</v>
      </c>
      <c r="H72">
        <v>1</v>
      </c>
      <c r="I72" t="s">
        <v>114</v>
      </c>
      <c r="J72">
        <v>0</v>
      </c>
      <c r="K72">
        <v>0</v>
      </c>
    </row>
    <row r="73" spans="1:13" ht="12.75">
      <c r="A73">
        <v>70</v>
      </c>
      <c r="B73">
        <v>1</v>
      </c>
      <c r="D73">
        <v>53</v>
      </c>
      <c r="E73" t="s">
        <v>115</v>
      </c>
      <c r="F73" t="s">
        <v>116</v>
      </c>
      <c r="G73">
        <v>0</v>
      </c>
      <c r="H73">
        <v>0</v>
      </c>
      <c r="I73" t="s">
        <v>117</v>
      </c>
      <c r="J73">
        <v>0</v>
      </c>
      <c r="K73">
        <v>0</v>
      </c>
    </row>
    <row r="74" spans="1:13" ht="12.75">
      <c r="A74">
        <v>70</v>
      </c>
      <c r="B74">
        <v>1</v>
      </c>
      <c r="D74">
        <v>24</v>
      </c>
      <c r="E74" t="s">
        <v>118</v>
      </c>
      <c r="F74" t="s">
        <v>119</v>
      </c>
      <c r="G74">
        <v>1</v>
      </c>
      <c r="H74">
        <v>1.68</v>
      </c>
      <c r="I74" t="s">
        <v>120</v>
      </c>
      <c r="J74">
        <v>0</v>
      </c>
      <c r="K74">
        <v>0</v>
      </c>
    </row>
    <row r="75" spans="1:13" ht="12.75">
      <c r="A75">
        <v>70</v>
      </c>
      <c r="B75">
        <v>1</v>
      </c>
      <c r="D75">
        <v>25</v>
      </c>
      <c r="E75" t="s">
        <v>121</v>
      </c>
      <c r="F75" t="s">
        <v>122</v>
      </c>
      <c r="G75">
        <v>1</v>
      </c>
      <c r="H75">
        <v>2.05</v>
      </c>
      <c r="I75" t="s">
        <v>123</v>
      </c>
      <c r="J75">
        <v>0</v>
      </c>
      <c r="K75">
        <v>0</v>
      </c>
    </row>
    <row r="76" spans="1:13" ht="12.75">
      <c r="A76">
        <v>70</v>
      </c>
      <c r="B76">
        <v>1</v>
      </c>
      <c r="D76">
        <v>26</v>
      </c>
      <c r="E76" t="s">
        <v>124</v>
      </c>
      <c r="F76" t="s">
        <v>125</v>
      </c>
      <c r="G76">
        <v>1</v>
      </c>
      <c r="H76">
        <v>2.4</v>
      </c>
      <c r="I76" t="s">
        <v>126</v>
      </c>
      <c r="J76">
        <v>0</v>
      </c>
      <c r="K76">
        <v>0</v>
      </c>
    </row>
    <row r="77" spans="1:13" ht="12.75">
      <c r="A77">
        <v>70</v>
      </c>
      <c r="B77">
        <v>1</v>
      </c>
      <c r="D77">
        <v>27</v>
      </c>
      <c r="E77" t="s">
        <v>127</v>
      </c>
      <c r="F77" t="s">
        <v>128</v>
      </c>
      <c r="G77">
        <v>1</v>
      </c>
      <c r="H77">
        <v>2.8</v>
      </c>
      <c r="I77" t="s">
        <v>129</v>
      </c>
      <c r="J77">
        <v>0</v>
      </c>
      <c r="K77">
        <v>0</v>
      </c>
    </row>
    <row r="78" spans="1:13" ht="12.75">
      <c r="A78">
        <v>70</v>
      </c>
      <c r="B78">
        <v>1</v>
      </c>
      <c r="D78">
        <v>54</v>
      </c>
      <c r="E78" t="s">
        <v>130</v>
      </c>
      <c r="F78" t="s">
        <v>131</v>
      </c>
      <c r="G78">
        <v>0</v>
      </c>
      <c r="H78">
        <v>0</v>
      </c>
      <c r="I78" t="s">
        <v>117</v>
      </c>
      <c r="J78">
        <v>0</v>
      </c>
      <c r="K78">
        <v>0</v>
      </c>
    </row>
    <row r="79" spans="1:13" ht="12.75">
      <c r="A79">
        <v>70</v>
      </c>
      <c r="B79">
        <v>1</v>
      </c>
      <c r="D79">
        <v>28</v>
      </c>
      <c r="E79" t="s">
        <v>132</v>
      </c>
      <c r="F79" t="s">
        <v>133</v>
      </c>
      <c r="G79">
        <v>1</v>
      </c>
      <c r="H79">
        <v>3</v>
      </c>
      <c r="I79" t="s">
        <v>134</v>
      </c>
      <c r="J79">
        <v>0</v>
      </c>
      <c r="K79">
        <v>0</v>
      </c>
    </row>
    <row r="80" spans="1:13" ht="12.75">
      <c r="A80">
        <v>70</v>
      </c>
      <c r="B80">
        <v>1</v>
      </c>
      <c r="D80">
        <v>29</v>
      </c>
      <c r="E80" t="s">
        <v>135</v>
      </c>
      <c r="F80" t="s">
        <v>136</v>
      </c>
      <c r="G80">
        <v>1</v>
      </c>
      <c r="H80">
        <v>2</v>
      </c>
      <c r="I80" t="s">
        <v>137</v>
      </c>
      <c r="J80">
        <v>0</v>
      </c>
      <c r="K80">
        <v>0</v>
      </c>
    </row>
    <row r="81" spans="1:13" ht="12.75">
      <c r="A81">
        <v>70</v>
      </c>
      <c r="B81">
        <v>1</v>
      </c>
      <c r="D81">
        <v>2</v>
      </c>
      <c r="E81" t="s">
        <v>138</v>
      </c>
      <c r="F81" t="s">
        <v>139</v>
      </c>
      <c r="G81">
        <v>1</v>
      </c>
      <c r="H81">
        <v>1.2</v>
      </c>
      <c r="I81" t="s">
        <v>140</v>
      </c>
      <c r="J81">
        <v>0</v>
      </c>
      <c r="K81">
        <v>0</v>
      </c>
    </row>
    <row r="82" spans="1:13" ht="12.75">
      <c r="A82">
        <v>70</v>
      </c>
      <c r="B82">
        <v>1</v>
      </c>
      <c r="D82">
        <v>4</v>
      </c>
      <c r="E82" t="s">
        <v>141</v>
      </c>
      <c r="F82" t="s">
        <v>142</v>
      </c>
      <c r="G82">
        <v>1</v>
      </c>
      <c r="H82">
        <v>1.2</v>
      </c>
      <c r="I82" t="s">
        <v>143</v>
      </c>
      <c r="J82">
        <v>0</v>
      </c>
      <c r="K82">
        <v>0</v>
      </c>
    </row>
    <row r="83" spans="1:13" ht="12.75">
      <c r="A83">
        <v>70</v>
      </c>
      <c r="B83">
        <v>1</v>
      </c>
      <c r="D83">
        <v>3</v>
      </c>
      <c r="E83" t="s">
        <v>144</v>
      </c>
      <c r="F83" t="s">
        <v>145</v>
      </c>
      <c r="G83">
        <v>1</v>
      </c>
      <c r="H83">
        <v>1.35</v>
      </c>
      <c r="I83" t="s">
        <v>146</v>
      </c>
      <c r="J83">
        <v>0</v>
      </c>
      <c r="K83">
        <v>0</v>
      </c>
    </row>
    <row r="84" spans="1:13" ht="12.75">
      <c r="A84">
        <v>70</v>
      </c>
      <c r="B84">
        <v>1</v>
      </c>
      <c r="D84">
        <v>6</v>
      </c>
      <c r="E84" t="s">
        <v>147</v>
      </c>
      <c r="F84" t="s">
        <v>148</v>
      </c>
      <c r="G84">
        <v>1</v>
      </c>
      <c r="H84">
        <v>1.5</v>
      </c>
      <c r="I84" t="s">
        <v>149</v>
      </c>
      <c r="J84">
        <v>0</v>
      </c>
      <c r="K84">
        <v>0</v>
      </c>
    </row>
    <row r="85" spans="1:13" ht="12.75">
      <c r="A85">
        <v>70</v>
      </c>
      <c r="B85">
        <v>1</v>
      </c>
      <c r="D85">
        <v>7</v>
      </c>
      <c r="E85" t="s">
        <v>150</v>
      </c>
      <c r="F85" t="s">
        <v>151</v>
      </c>
      <c r="G85">
        <v>1</v>
      </c>
      <c r="H85">
        <v>1.5</v>
      </c>
      <c r="I85" t="s">
        <v>152</v>
      </c>
      <c r="J85">
        <v>0</v>
      </c>
      <c r="K85">
        <v>0</v>
      </c>
    </row>
    <row r="86" spans="1:13" ht="12.75">
      <c r="A86">
        <v>70</v>
      </c>
      <c r="B86">
        <v>1</v>
      </c>
      <c r="D86">
        <v>8</v>
      </c>
      <c r="E86" t="s">
        <v>153</v>
      </c>
      <c r="F86" t="s">
        <v>154</v>
      </c>
      <c r="G86">
        <v>1</v>
      </c>
      <c r="H86">
        <v>1.35</v>
      </c>
      <c r="I86" t="s">
        <v>155</v>
      </c>
      <c r="J86">
        <v>0</v>
      </c>
      <c r="K86">
        <v>0</v>
      </c>
    </row>
    <row r="87" spans="1:13" ht="12.75">
      <c r="A87">
        <v>70</v>
      </c>
      <c r="B87">
        <v>1</v>
      </c>
      <c r="D87">
        <v>9</v>
      </c>
      <c r="E87" t="s">
        <v>156</v>
      </c>
      <c r="F87" t="s">
        <v>157</v>
      </c>
      <c r="G87">
        <v>1</v>
      </c>
      <c r="H87">
        <v>1.7</v>
      </c>
      <c r="I87" t="s">
        <v>158</v>
      </c>
      <c r="J87">
        <v>0</v>
      </c>
      <c r="K87">
        <v>0</v>
      </c>
    </row>
    <row r="88" spans="1:13" ht="12.75">
      <c r="A88">
        <v>70</v>
      </c>
      <c r="B88">
        <v>1</v>
      </c>
      <c r="D88">
        <v>10</v>
      </c>
      <c r="E88" t="s">
        <v>159</v>
      </c>
      <c r="F88" t="s">
        <v>154</v>
      </c>
      <c r="G88">
        <v>1</v>
      </c>
      <c r="H88">
        <v>1.55</v>
      </c>
      <c r="I88" t="s">
        <v>160</v>
      </c>
      <c r="J88">
        <v>0</v>
      </c>
      <c r="K88">
        <v>0</v>
      </c>
    </row>
    <row r="89" spans="1:13" ht="12.75">
      <c r="A89">
        <v>70</v>
      </c>
      <c r="B89">
        <v>1</v>
      </c>
      <c r="D89">
        <v>11</v>
      </c>
      <c r="E89" t="s">
        <v>161</v>
      </c>
      <c r="F89" t="s">
        <v>162</v>
      </c>
      <c r="G89">
        <v>1</v>
      </c>
      <c r="H89">
        <v>2.05</v>
      </c>
      <c r="I89" t="s">
        <v>163</v>
      </c>
      <c r="J89">
        <v>0</v>
      </c>
      <c r="K89">
        <v>0</v>
      </c>
    </row>
    <row r="90" spans="1:13" ht="12.75">
      <c r="A90">
        <v>70</v>
      </c>
      <c r="B90">
        <v>1</v>
      </c>
      <c r="D90">
        <v>12</v>
      </c>
      <c r="E90" t="s">
        <v>164</v>
      </c>
      <c r="F90" t="s">
        <v>165</v>
      </c>
      <c r="G90">
        <v>1</v>
      </c>
      <c r="H90">
        <v>1.9</v>
      </c>
      <c r="I90" t="s">
        <v>166</v>
      </c>
      <c r="J90">
        <v>0</v>
      </c>
      <c r="K90">
        <v>0</v>
      </c>
    </row>
    <row r="91" spans="1:13" ht="12.75">
      <c r="A91">
        <v>70</v>
      </c>
      <c r="B91">
        <v>1</v>
      </c>
      <c r="D91">
        <v>13</v>
      </c>
      <c r="E91" t="s">
        <v>167</v>
      </c>
      <c r="F91" t="s">
        <v>168</v>
      </c>
      <c r="G91">
        <v>1</v>
      </c>
      <c r="H91">
        <v>2.3</v>
      </c>
      <c r="I91" t="s">
        <v>169</v>
      </c>
      <c r="J91">
        <v>0</v>
      </c>
      <c r="K91">
        <v>0</v>
      </c>
    </row>
    <row r="92" spans="1:13" ht="12.75">
      <c r="A92">
        <v>70</v>
      </c>
      <c r="B92">
        <v>1</v>
      </c>
      <c r="D92">
        <v>14</v>
      </c>
      <c r="E92" t="s">
        <v>170</v>
      </c>
      <c r="F92" t="s">
        <v>165</v>
      </c>
      <c r="G92">
        <v>1</v>
      </c>
      <c r="H92">
        <v>2.15</v>
      </c>
      <c r="I92" t="s">
        <v>171</v>
      </c>
      <c r="J92">
        <v>0</v>
      </c>
      <c r="K92">
        <v>0</v>
      </c>
    </row>
    <row r="93" spans="1:13" ht="12.75">
      <c r="A93">
        <v>70</v>
      </c>
      <c r="B93">
        <v>1</v>
      </c>
      <c r="D93">
        <v>15</v>
      </c>
      <c r="E93" t="s">
        <v>172</v>
      </c>
      <c r="F93" t="s">
        <v>173</v>
      </c>
      <c r="G93">
        <v>1</v>
      </c>
      <c r="H93">
        <v>1.15</v>
      </c>
      <c r="I93" t="s">
        <v>174</v>
      </c>
      <c r="J93">
        <v>0</v>
      </c>
      <c r="K93">
        <v>0</v>
      </c>
    </row>
    <row r="94" spans="1:13" ht="12.75">
      <c r="A94">
        <v>70</v>
      </c>
      <c r="B94">
        <v>1</v>
      </c>
      <c r="D94">
        <v>16</v>
      </c>
      <c r="E94" t="s">
        <v>175</v>
      </c>
      <c r="F94" t="s">
        <v>176</v>
      </c>
      <c r="G94">
        <v>1</v>
      </c>
      <c r="H94">
        <v>1.25</v>
      </c>
      <c r="I94" t="s">
        <v>177</v>
      </c>
      <c r="J94">
        <v>0</v>
      </c>
      <c r="K94">
        <v>0</v>
      </c>
    </row>
    <row r="95" spans="1:13" ht="12.75">
      <c r="A95">
        <v>70</v>
      </c>
      <c r="B95">
        <v>1</v>
      </c>
      <c r="D95">
        <v>17</v>
      </c>
      <c r="E95" t="s">
        <v>178</v>
      </c>
      <c r="F95" t="s">
        <v>179</v>
      </c>
      <c r="G95">
        <v>1</v>
      </c>
      <c r="H95">
        <v>1.2</v>
      </c>
      <c r="I95" t="s">
        <v>180</v>
      </c>
      <c r="J95">
        <v>0</v>
      </c>
      <c r="K95">
        <v>0</v>
      </c>
    </row>
    <row r="96" spans="1:13" ht="12.75">
      <c r="A96">
        <v>70</v>
      </c>
      <c r="B96">
        <v>1</v>
      </c>
      <c r="D96">
        <v>18</v>
      </c>
      <c r="E96" t="s">
        <v>181</v>
      </c>
      <c r="F96" t="s">
        <v>182</v>
      </c>
      <c r="G96">
        <v>1</v>
      </c>
      <c r="H96">
        <v>1.1</v>
      </c>
      <c r="I96" t="s">
        <v>183</v>
      </c>
      <c r="J96">
        <v>0</v>
      </c>
      <c r="K96">
        <v>0</v>
      </c>
    </row>
    <row r="97" spans="1:13" ht="12.75">
      <c r="A97">
        <v>70</v>
      </c>
      <c r="B97">
        <v>1</v>
      </c>
      <c r="D97">
        <v>19</v>
      </c>
      <c r="E97" t="s">
        <v>184</v>
      </c>
      <c r="F97" t="s">
        <v>185</v>
      </c>
      <c r="G97">
        <v>1</v>
      </c>
      <c r="H97">
        <v>1.15</v>
      </c>
      <c r="I97" t="s">
        <v>186</v>
      </c>
      <c r="J97">
        <v>0</v>
      </c>
      <c r="K97">
        <v>0</v>
      </c>
    </row>
    <row r="98" spans="1:13" ht="12.75">
      <c r="A98">
        <v>70</v>
      </c>
      <c r="B98">
        <v>1</v>
      </c>
      <c r="D98">
        <v>20</v>
      </c>
      <c r="E98" t="s">
        <v>187</v>
      </c>
      <c r="F98" t="s">
        <v>188</v>
      </c>
      <c r="G98">
        <v>1</v>
      </c>
      <c r="H98">
        <v>1.15</v>
      </c>
      <c r="I98" t="s">
        <v>189</v>
      </c>
      <c r="J98">
        <v>0</v>
      </c>
      <c r="K98">
        <v>0</v>
      </c>
    </row>
    <row r="99" spans="1:13" ht="12.75">
      <c r="A99">
        <v>70</v>
      </c>
      <c r="B99">
        <v>1</v>
      </c>
      <c r="D99">
        <v>21</v>
      </c>
      <c r="E99" t="s">
        <v>190</v>
      </c>
      <c r="F99" t="s">
        <v>191</v>
      </c>
      <c r="G99">
        <v>1</v>
      </c>
      <c r="H99">
        <v>1.25</v>
      </c>
      <c r="I99" t="s">
        <v>192</v>
      </c>
      <c r="J99">
        <v>0</v>
      </c>
      <c r="K99">
        <v>0</v>
      </c>
    </row>
    <row r="100" spans="1:13" ht="12.75">
      <c r="A100">
        <v>70</v>
      </c>
      <c r="B100">
        <v>1</v>
      </c>
      <c r="D100">
        <v>22</v>
      </c>
      <c r="E100" t="s">
        <v>193</v>
      </c>
      <c r="F100" t="s">
        <v>194</v>
      </c>
      <c r="G100">
        <v>1</v>
      </c>
      <c r="H100">
        <v>1.35</v>
      </c>
      <c r="I100" t="s">
        <v>195</v>
      </c>
      <c r="J100">
        <v>0</v>
      </c>
      <c r="K100">
        <v>0</v>
      </c>
    </row>
    <row r="101" spans="1:13" ht="12.75">
      <c r="A101">
        <v>70</v>
      </c>
      <c r="B101">
        <v>1</v>
      </c>
      <c r="D101">
        <v>23</v>
      </c>
      <c r="E101" t="s">
        <v>196</v>
      </c>
      <c r="F101" t="s">
        <v>197</v>
      </c>
      <c r="G101">
        <v>1</v>
      </c>
      <c r="H101">
        <v>1.5</v>
      </c>
      <c r="I101" t="s">
        <v>198</v>
      </c>
      <c r="J101">
        <v>0</v>
      </c>
      <c r="K101">
        <v>0</v>
      </c>
    </row>
    <row r="102" spans="1:13" ht="12.75">
      <c r="A102">
        <v>70</v>
      </c>
      <c r="B102">
        <v>1</v>
      </c>
      <c r="D102">
        <v>44</v>
      </c>
      <c r="E102" t="s">
        <v>199</v>
      </c>
      <c r="F102" t="s">
        <v>200</v>
      </c>
      <c r="G102">
        <v>1</v>
      </c>
      <c r="H102">
        <v>1.35</v>
      </c>
      <c r="I102" t="s">
        <v>201</v>
      </c>
      <c r="J102">
        <v>0</v>
      </c>
      <c r="K102">
        <v>0</v>
      </c>
    </row>
    <row r="103" spans="1:13" ht="12.75">
      <c r="A103">
        <v>70</v>
      </c>
      <c r="B103">
        <v>1</v>
      </c>
      <c r="D103">
        <v>46</v>
      </c>
      <c r="E103" t="s">
        <v>202</v>
      </c>
      <c r="F103" t="s">
        <v>203</v>
      </c>
      <c r="G103">
        <v>0</v>
      </c>
      <c r="H103">
        <v>0</v>
      </c>
      <c r="I103" t="s">
        <v>117</v>
      </c>
      <c r="J103">
        <v>0</v>
      </c>
      <c r="K103">
        <v>0</v>
      </c>
    </row>
    <row r="104" spans="1:13" ht="12.75">
      <c r="A104">
        <v>70</v>
      </c>
      <c r="B104">
        <v>1</v>
      </c>
      <c r="D104">
        <v>47</v>
      </c>
      <c r="E104" t="s">
        <v>204</v>
      </c>
      <c r="F104" t="s">
        <v>205</v>
      </c>
      <c r="G104">
        <v>1</v>
      </c>
      <c r="H104">
        <v>1.15</v>
      </c>
      <c r="I104" t="s">
        <v>206</v>
      </c>
      <c r="J104">
        <v>0</v>
      </c>
      <c r="K104">
        <v>0</v>
      </c>
    </row>
    <row r="105" spans="1:13" ht="12.75">
      <c r="A105">
        <v>70</v>
      </c>
      <c r="B105">
        <v>1</v>
      </c>
      <c r="D105">
        <v>48</v>
      </c>
      <c r="E105" t="s">
        <v>207</v>
      </c>
      <c r="F105" t="s">
        <v>208</v>
      </c>
      <c r="G105">
        <v>1</v>
      </c>
      <c r="H105">
        <v>1.25</v>
      </c>
      <c r="I105" t="s">
        <v>209</v>
      </c>
      <c r="J105">
        <v>0</v>
      </c>
      <c r="K105">
        <v>0</v>
      </c>
    </row>
    <row r="106" spans="1:13" ht="12.75">
      <c r="A106">
        <v>70</v>
      </c>
      <c r="B106">
        <v>1</v>
      </c>
      <c r="D106">
        <v>49</v>
      </c>
      <c r="E106" t="s">
        <v>210</v>
      </c>
      <c r="F106" t="s">
        <v>211</v>
      </c>
      <c r="G106">
        <v>1</v>
      </c>
      <c r="H106">
        <v>1.1</v>
      </c>
      <c r="I106" t="s">
        <v>212</v>
      </c>
      <c r="J106">
        <v>0</v>
      </c>
      <c r="K106">
        <v>0</v>
      </c>
    </row>
    <row r="107" spans="1:13" ht="12.75">
      <c r="A107">
        <v>70</v>
      </c>
      <c r="B107">
        <v>1</v>
      </c>
      <c r="D107">
        <v>45</v>
      </c>
      <c r="E107" t="s">
        <v>213</v>
      </c>
      <c r="F107" t="s">
        <v>214</v>
      </c>
      <c r="G107">
        <v>1</v>
      </c>
      <c r="H107">
        <v>1.5</v>
      </c>
      <c r="I107" t="s">
        <v>215</v>
      </c>
      <c r="J107">
        <v>0</v>
      </c>
      <c r="K107">
        <v>0</v>
      </c>
    </row>
    <row r="108" spans="1:13" ht="12.75">
      <c r="A108">
        <v>70</v>
      </c>
      <c r="B108">
        <v>1</v>
      </c>
      <c r="D108">
        <v>51</v>
      </c>
      <c r="E108" t="s">
        <v>216</v>
      </c>
      <c r="F108" t="s">
        <v>217</v>
      </c>
      <c r="G108">
        <v>1</v>
      </c>
      <c r="H108">
        <v>1.1</v>
      </c>
      <c r="I108" t="s">
        <v>218</v>
      </c>
      <c r="J108">
        <v>0</v>
      </c>
      <c r="K108">
        <v>0</v>
      </c>
    </row>
    <row r="109" spans="1:13" ht="12.75">
      <c r="A109">
        <v>70</v>
      </c>
      <c r="B109">
        <v>1</v>
      </c>
      <c r="D109">
        <v>50</v>
      </c>
      <c r="E109" t="s">
        <v>219</v>
      </c>
      <c r="F109" t="s">
        <v>220</v>
      </c>
      <c r="G109">
        <v>1</v>
      </c>
      <c r="H109">
        <v>1.35</v>
      </c>
      <c r="I109" t="s">
        <v>221</v>
      </c>
      <c r="J109">
        <v>0</v>
      </c>
      <c r="K109">
        <v>0</v>
      </c>
    </row>
    <row r="112" spans="1:7" ht="12.75">
      <c r="A112">
        <v>65</v>
      </c>
      <c r="C112">
        <v>1</v>
      </c>
      <c r="D112">
        <v>2</v>
      </c>
      <c r="E112">
        <v>150</v>
      </c>
      <c r="F112" t="s">
        <v>222</v>
      </c>
      <c r="G112" t="s">
        <v>223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ROW(Source!A24)</f>
        <v>24</v>
      </c>
      <c r="B1">
        <v>4647491</v>
      </c>
      <c r="C1">
        <v>4647490</v>
      </c>
      <c r="D1">
        <v>4156924</v>
      </c>
      <c r="E1">
        <v>1</v>
      </c>
      <c r="F1">
        <v>1</v>
      </c>
      <c r="G1">
        <v>1</v>
      </c>
      <c r="H1">
        <v>1</v>
      </c>
      <c r="I1" t="s">
        <v>224</v>
      </c>
      <c r="K1" t="s">
        <v>225</v>
      </c>
      <c r="L1">
        <v>1476</v>
      </c>
      <c r="N1">
        <v>1013</v>
      </c>
      <c r="O1" t="s">
        <v>226</v>
      </c>
      <c r="P1" t="s">
        <v>227</v>
      </c>
      <c r="Q1">
        <v>1</v>
      </c>
      <c r="Y1">
        <v>24.39</v>
      </c>
      <c r="AA1">
        <v>0</v>
      </c>
      <c r="AB1">
        <v>0</v>
      </c>
      <c r="AC1">
        <v>0</v>
      </c>
      <c r="AD1">
        <v>7.79</v>
      </c>
      <c r="AN1">
        <v>0</v>
      </c>
      <c r="AO1">
        <v>1</v>
      </c>
      <c r="AP1">
        <v>0</v>
      </c>
      <c r="AQ1">
        <v>0</v>
      </c>
      <c r="AR1">
        <v>0</v>
      </c>
      <c r="AT1">
        <v>24.39</v>
      </c>
      <c r="AV1">
        <v>1</v>
      </c>
    </row>
    <row r="2" spans="1:48" ht="12.75">
      <c r="A2">
        <f>ROW(Source!A24)</f>
        <v>24</v>
      </c>
      <c r="B2">
        <v>4647492</v>
      </c>
      <c r="C2">
        <v>4647490</v>
      </c>
      <c r="D2">
        <v>4064462</v>
      </c>
      <c r="E2">
        <v>1</v>
      </c>
      <c r="F2">
        <v>1</v>
      </c>
      <c r="G2">
        <v>1</v>
      </c>
      <c r="H2">
        <v>2</v>
      </c>
      <c r="I2" t="s">
        <v>228</v>
      </c>
      <c r="J2" t="s">
        <v>229</v>
      </c>
      <c r="K2" t="s">
        <v>230</v>
      </c>
      <c r="L2">
        <v>1368</v>
      </c>
      <c r="N2">
        <v>1011</v>
      </c>
      <c r="O2" t="s">
        <v>231</v>
      </c>
      <c r="P2" t="s">
        <v>231</v>
      </c>
      <c r="Q2">
        <v>1</v>
      </c>
      <c r="Y2">
        <v>0.63</v>
      </c>
      <c r="AA2">
        <v>0</v>
      </c>
      <c r="AB2">
        <v>2.77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0.63</v>
      </c>
      <c r="AV2">
        <v>0</v>
      </c>
    </row>
    <row r="3" spans="1:48" ht="12.75">
      <c r="A3">
        <f>ROW(Source!A24)</f>
        <v>24</v>
      </c>
      <c r="B3">
        <v>4647493</v>
      </c>
      <c r="C3">
        <v>4647490</v>
      </c>
      <c r="D3">
        <v>4125739</v>
      </c>
      <c r="E3">
        <v>1</v>
      </c>
      <c r="F3">
        <v>1</v>
      </c>
      <c r="G3">
        <v>1</v>
      </c>
      <c r="H3">
        <v>3</v>
      </c>
      <c r="I3" t="s">
        <v>232</v>
      </c>
      <c r="J3" t="s">
        <v>233</v>
      </c>
      <c r="K3" t="s">
        <v>234</v>
      </c>
      <c r="L3">
        <v>1348</v>
      </c>
      <c r="N3">
        <v>1009</v>
      </c>
      <c r="O3" t="s">
        <v>235</v>
      </c>
      <c r="P3" t="s">
        <v>235</v>
      </c>
      <c r="Q3">
        <v>1000</v>
      </c>
      <c r="Y3">
        <v>1.45</v>
      </c>
      <c r="AA3">
        <v>0</v>
      </c>
      <c r="AB3">
        <v>0</v>
      </c>
      <c r="AC3">
        <v>0</v>
      </c>
      <c r="AD3">
        <v>0</v>
      </c>
      <c r="AN3">
        <v>0</v>
      </c>
      <c r="AO3">
        <v>0</v>
      </c>
      <c r="AP3">
        <v>0</v>
      </c>
      <c r="AQ3">
        <v>0</v>
      </c>
      <c r="AR3">
        <v>0</v>
      </c>
      <c r="AT3">
        <v>1.45</v>
      </c>
      <c r="AV3">
        <v>0</v>
      </c>
    </row>
    <row r="4" spans="1:48" ht="12.75">
      <c r="A4">
        <f>ROW(Source!A25)</f>
        <v>25</v>
      </c>
      <c r="B4">
        <v>4647495</v>
      </c>
      <c r="C4">
        <v>4647494</v>
      </c>
      <c r="D4">
        <v>4159351</v>
      </c>
      <c r="E4">
        <v>1</v>
      </c>
      <c r="F4">
        <v>1</v>
      </c>
      <c r="G4">
        <v>1</v>
      </c>
      <c r="H4">
        <v>1</v>
      </c>
      <c r="I4" t="s">
        <v>236</v>
      </c>
      <c r="K4" t="s">
        <v>237</v>
      </c>
      <c r="L4">
        <v>1476</v>
      </c>
      <c r="N4">
        <v>1013</v>
      </c>
      <c r="O4" t="s">
        <v>226</v>
      </c>
      <c r="P4" t="s">
        <v>227</v>
      </c>
      <c r="Q4">
        <v>1</v>
      </c>
      <c r="Y4">
        <v>65.12</v>
      </c>
      <c r="AA4">
        <v>0</v>
      </c>
      <c r="AB4">
        <v>0</v>
      </c>
      <c r="AC4">
        <v>0</v>
      </c>
      <c r="AD4">
        <v>7.93</v>
      </c>
      <c r="AN4">
        <v>0</v>
      </c>
      <c r="AO4">
        <v>1</v>
      </c>
      <c r="AP4">
        <v>0</v>
      </c>
      <c r="AQ4">
        <v>0</v>
      </c>
      <c r="AR4">
        <v>0</v>
      </c>
      <c r="AT4">
        <v>65.12</v>
      </c>
      <c r="AV4">
        <v>1</v>
      </c>
    </row>
    <row r="5" spans="1:48" ht="12.75">
      <c r="A5">
        <f>ROW(Source!A25)</f>
        <v>25</v>
      </c>
      <c r="B5">
        <v>4647496</v>
      </c>
      <c r="C5">
        <v>4647494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24</v>
      </c>
      <c r="K5" t="s">
        <v>238</v>
      </c>
      <c r="L5">
        <v>608254</v>
      </c>
      <c r="N5">
        <v>1013</v>
      </c>
      <c r="O5" t="s">
        <v>239</v>
      </c>
      <c r="P5" t="s">
        <v>239</v>
      </c>
      <c r="Q5">
        <v>1</v>
      </c>
      <c r="Y5">
        <v>0.28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0.28</v>
      </c>
      <c r="AV5">
        <v>2</v>
      </c>
    </row>
    <row r="6" spans="1:48" ht="12.75">
      <c r="A6">
        <f>ROW(Source!A25)</f>
        <v>25</v>
      </c>
      <c r="B6">
        <v>4647497</v>
      </c>
      <c r="C6">
        <v>4647494</v>
      </c>
      <c r="D6">
        <v>4064462</v>
      </c>
      <c r="E6">
        <v>1</v>
      </c>
      <c r="F6">
        <v>1</v>
      </c>
      <c r="G6">
        <v>1</v>
      </c>
      <c r="H6">
        <v>2</v>
      </c>
      <c r="I6" t="s">
        <v>228</v>
      </c>
      <c r="J6" t="s">
        <v>229</v>
      </c>
      <c r="K6" t="s">
        <v>230</v>
      </c>
      <c r="L6">
        <v>1368</v>
      </c>
      <c r="N6">
        <v>1011</v>
      </c>
      <c r="O6" t="s">
        <v>231</v>
      </c>
      <c r="P6" t="s">
        <v>231</v>
      </c>
      <c r="Q6">
        <v>1</v>
      </c>
      <c r="Y6">
        <v>0.39</v>
      </c>
      <c r="AA6">
        <v>0</v>
      </c>
      <c r="AB6">
        <v>2.77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0.39</v>
      </c>
      <c r="AV6">
        <v>0</v>
      </c>
    </row>
    <row r="7" spans="1:48" ht="12.75">
      <c r="A7">
        <f>ROW(Source!A25)</f>
        <v>25</v>
      </c>
      <c r="B7">
        <v>4647498</v>
      </c>
      <c r="C7">
        <v>4647494</v>
      </c>
      <c r="D7">
        <v>4067370</v>
      </c>
      <c r="E7">
        <v>1</v>
      </c>
      <c r="F7">
        <v>1</v>
      </c>
      <c r="G7">
        <v>1</v>
      </c>
      <c r="H7">
        <v>2</v>
      </c>
      <c r="I7" t="s">
        <v>240</v>
      </c>
      <c r="J7" t="s">
        <v>241</v>
      </c>
      <c r="K7" t="s">
        <v>242</v>
      </c>
      <c r="L7">
        <v>1368</v>
      </c>
      <c r="N7">
        <v>1011</v>
      </c>
      <c r="O7" t="s">
        <v>231</v>
      </c>
      <c r="P7" t="s">
        <v>231</v>
      </c>
      <c r="Q7">
        <v>1</v>
      </c>
      <c r="Y7">
        <v>0.28</v>
      </c>
      <c r="AA7">
        <v>0</v>
      </c>
      <c r="AB7">
        <v>60.77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0.28</v>
      </c>
      <c r="AV7">
        <v>0</v>
      </c>
    </row>
    <row r="8" spans="1:48" ht="12.75">
      <c r="A8">
        <f>ROW(Source!A25)</f>
        <v>25</v>
      </c>
      <c r="B8">
        <v>4647499</v>
      </c>
      <c r="C8">
        <v>4647494</v>
      </c>
      <c r="D8">
        <v>4071695</v>
      </c>
      <c r="E8">
        <v>1</v>
      </c>
      <c r="F8">
        <v>1</v>
      </c>
      <c r="G8">
        <v>1</v>
      </c>
      <c r="H8">
        <v>3</v>
      </c>
      <c r="I8" t="s">
        <v>243</v>
      </c>
      <c r="J8" t="s">
        <v>244</v>
      </c>
      <c r="K8" t="s">
        <v>245</v>
      </c>
      <c r="L8">
        <v>1348</v>
      </c>
      <c r="N8">
        <v>1009</v>
      </c>
      <c r="O8" t="s">
        <v>235</v>
      </c>
      <c r="P8" t="s">
        <v>235</v>
      </c>
      <c r="Q8">
        <v>1000</v>
      </c>
      <c r="Y8">
        <v>0.004</v>
      </c>
      <c r="AA8">
        <v>7696.95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0.004</v>
      </c>
      <c r="AV8">
        <v>0</v>
      </c>
    </row>
    <row r="9" spans="1:48" ht="12.75">
      <c r="A9">
        <f>ROW(Source!A25)</f>
        <v>25</v>
      </c>
      <c r="B9">
        <v>4647500</v>
      </c>
      <c r="C9">
        <v>4647494</v>
      </c>
      <c r="D9">
        <v>4073952</v>
      </c>
      <c r="E9">
        <v>1</v>
      </c>
      <c r="F9">
        <v>1</v>
      </c>
      <c r="G9">
        <v>1</v>
      </c>
      <c r="H9">
        <v>3</v>
      </c>
      <c r="I9" t="s">
        <v>246</v>
      </c>
      <c r="J9" t="s">
        <v>247</v>
      </c>
      <c r="K9" t="s">
        <v>248</v>
      </c>
      <c r="L9">
        <v>1339</v>
      </c>
      <c r="N9">
        <v>1007</v>
      </c>
      <c r="O9" t="s">
        <v>57</v>
      </c>
      <c r="P9" t="s">
        <v>57</v>
      </c>
      <c r="Q9">
        <v>1</v>
      </c>
      <c r="Y9">
        <v>1.3</v>
      </c>
      <c r="AA9">
        <v>1023.16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1.3</v>
      </c>
      <c r="AV9">
        <v>0</v>
      </c>
    </row>
    <row r="10" spans="1:48" ht="12.75">
      <c r="A10">
        <f>ROW(Source!A25)</f>
        <v>25</v>
      </c>
      <c r="B10">
        <v>4647501</v>
      </c>
      <c r="C10">
        <v>4647494</v>
      </c>
      <c r="D10">
        <v>4125739</v>
      </c>
      <c r="E10">
        <v>1</v>
      </c>
      <c r="F10">
        <v>1</v>
      </c>
      <c r="G10">
        <v>1</v>
      </c>
      <c r="H10">
        <v>3</v>
      </c>
      <c r="I10" t="s">
        <v>232</v>
      </c>
      <c r="J10" t="s">
        <v>233</v>
      </c>
      <c r="K10" t="s">
        <v>234</v>
      </c>
      <c r="L10">
        <v>1348</v>
      </c>
      <c r="N10">
        <v>1009</v>
      </c>
      <c r="O10" t="s">
        <v>235</v>
      </c>
      <c r="P10" t="s">
        <v>235</v>
      </c>
      <c r="Q10">
        <v>1000</v>
      </c>
      <c r="Y10">
        <v>2.11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2.11</v>
      </c>
      <c r="AV10">
        <v>0</v>
      </c>
    </row>
    <row r="11" spans="1:48" ht="12.75">
      <c r="A11">
        <f>ROW(Source!A26)</f>
        <v>26</v>
      </c>
      <c r="B11">
        <v>4647503</v>
      </c>
      <c r="C11">
        <v>4647502</v>
      </c>
      <c r="D11">
        <v>4157999</v>
      </c>
      <c r="E11">
        <v>1</v>
      </c>
      <c r="F11">
        <v>1</v>
      </c>
      <c r="G11">
        <v>1</v>
      </c>
      <c r="H11">
        <v>1</v>
      </c>
      <c r="I11" t="s">
        <v>249</v>
      </c>
      <c r="K11" t="s">
        <v>250</v>
      </c>
      <c r="L11">
        <v>1476</v>
      </c>
      <c r="N11">
        <v>1013</v>
      </c>
      <c r="O11" t="s">
        <v>226</v>
      </c>
      <c r="P11" t="s">
        <v>227</v>
      </c>
      <c r="Q11">
        <v>1</v>
      </c>
      <c r="Y11">
        <v>63.22</v>
      </c>
      <c r="AA11">
        <v>0</v>
      </c>
      <c r="AB11">
        <v>0</v>
      </c>
      <c r="AC11">
        <v>0</v>
      </c>
      <c r="AD11">
        <v>8.52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63.22</v>
      </c>
      <c r="AV11">
        <v>1</v>
      </c>
    </row>
    <row r="12" spans="1:48" ht="12.75">
      <c r="A12">
        <f>ROW(Source!A26)</f>
        <v>26</v>
      </c>
      <c r="B12">
        <v>4647504</v>
      </c>
      <c r="C12">
        <v>4647502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24</v>
      </c>
      <c r="K12" t="s">
        <v>238</v>
      </c>
      <c r="L12">
        <v>608254</v>
      </c>
      <c r="N12">
        <v>1013</v>
      </c>
      <c r="O12" t="s">
        <v>239</v>
      </c>
      <c r="P12" t="s">
        <v>239</v>
      </c>
      <c r="Q12">
        <v>1</v>
      </c>
      <c r="Y12">
        <v>0.2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0.2</v>
      </c>
      <c r="AV12">
        <v>2</v>
      </c>
    </row>
    <row r="13" spans="1:48" ht="12.75">
      <c r="A13">
        <f>ROW(Source!A26)</f>
        <v>26</v>
      </c>
      <c r="B13">
        <v>4647505</v>
      </c>
      <c r="C13">
        <v>4647502</v>
      </c>
      <c r="D13">
        <v>4064532</v>
      </c>
      <c r="E13">
        <v>1</v>
      </c>
      <c r="F13">
        <v>1</v>
      </c>
      <c r="G13">
        <v>1</v>
      </c>
      <c r="H13">
        <v>2</v>
      </c>
      <c r="I13" t="s">
        <v>251</v>
      </c>
      <c r="J13" t="s">
        <v>252</v>
      </c>
      <c r="K13" t="s">
        <v>253</v>
      </c>
      <c r="L13">
        <v>1368</v>
      </c>
      <c r="N13">
        <v>1011</v>
      </c>
      <c r="O13" t="s">
        <v>231</v>
      </c>
      <c r="P13" t="s">
        <v>231</v>
      </c>
      <c r="Q13">
        <v>1</v>
      </c>
      <c r="Y13">
        <v>0.14</v>
      </c>
      <c r="AA13">
        <v>0</v>
      </c>
      <c r="AB13">
        <v>13.25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0.14</v>
      </c>
      <c r="AV13">
        <v>0</v>
      </c>
    </row>
    <row r="14" spans="1:48" ht="12.75">
      <c r="A14">
        <f>ROW(Source!A26)</f>
        <v>26</v>
      </c>
      <c r="B14">
        <v>4647506</v>
      </c>
      <c r="C14">
        <v>4647502</v>
      </c>
      <c r="D14">
        <v>4067370</v>
      </c>
      <c r="E14">
        <v>1</v>
      </c>
      <c r="F14">
        <v>1</v>
      </c>
      <c r="G14">
        <v>1</v>
      </c>
      <c r="H14">
        <v>2</v>
      </c>
      <c r="I14" t="s">
        <v>240</v>
      </c>
      <c r="J14" t="s">
        <v>241</v>
      </c>
      <c r="K14" t="s">
        <v>242</v>
      </c>
      <c r="L14">
        <v>1368</v>
      </c>
      <c r="N14">
        <v>1011</v>
      </c>
      <c r="O14" t="s">
        <v>231</v>
      </c>
      <c r="P14" t="s">
        <v>231</v>
      </c>
      <c r="Q14">
        <v>1</v>
      </c>
      <c r="Y14">
        <v>0.06</v>
      </c>
      <c r="AA14">
        <v>0</v>
      </c>
      <c r="AB14">
        <v>60.77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0.06</v>
      </c>
      <c r="AV14">
        <v>0</v>
      </c>
    </row>
    <row r="15" spans="1:48" ht="12.75">
      <c r="A15">
        <f>ROW(Source!A26)</f>
        <v>26</v>
      </c>
      <c r="B15">
        <v>4647507</v>
      </c>
      <c r="C15">
        <v>4647502</v>
      </c>
      <c r="D15">
        <v>4069598</v>
      </c>
      <c r="E15">
        <v>1</v>
      </c>
      <c r="F15">
        <v>1</v>
      </c>
      <c r="G15">
        <v>1</v>
      </c>
      <c r="H15">
        <v>3</v>
      </c>
      <c r="I15" t="s">
        <v>254</v>
      </c>
      <c r="J15" t="s">
        <v>255</v>
      </c>
      <c r="K15" t="s">
        <v>256</v>
      </c>
      <c r="L15">
        <v>1348</v>
      </c>
      <c r="N15">
        <v>1009</v>
      </c>
      <c r="O15" t="s">
        <v>235</v>
      </c>
      <c r="P15" t="s">
        <v>235</v>
      </c>
      <c r="Q15">
        <v>1000</v>
      </c>
      <c r="Y15">
        <v>0.006</v>
      </c>
      <c r="AA15">
        <v>11545.42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0.006</v>
      </c>
      <c r="AV15">
        <v>0</v>
      </c>
    </row>
    <row r="16" spans="1:48" ht="12.75">
      <c r="A16">
        <f>ROW(Source!A26)</f>
        <v>26</v>
      </c>
      <c r="B16">
        <v>4647508</v>
      </c>
      <c r="C16">
        <v>4647502</v>
      </c>
      <c r="D16">
        <v>4071695</v>
      </c>
      <c r="E16">
        <v>1</v>
      </c>
      <c r="F16">
        <v>1</v>
      </c>
      <c r="G16">
        <v>1</v>
      </c>
      <c r="H16">
        <v>3</v>
      </c>
      <c r="I16" t="s">
        <v>243</v>
      </c>
      <c r="J16" t="s">
        <v>244</v>
      </c>
      <c r="K16" t="s">
        <v>245</v>
      </c>
      <c r="L16">
        <v>1348</v>
      </c>
      <c r="N16">
        <v>1009</v>
      </c>
      <c r="O16" t="s">
        <v>235</v>
      </c>
      <c r="P16" t="s">
        <v>235</v>
      </c>
      <c r="Q16">
        <v>1000</v>
      </c>
      <c r="Y16">
        <v>0.004</v>
      </c>
      <c r="AA16">
        <v>7696.95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0.004</v>
      </c>
      <c r="AV16">
        <v>0</v>
      </c>
    </row>
    <row r="17" spans="1:48" ht="12.75">
      <c r="A17">
        <f>ROW(Source!A26)</f>
        <v>26</v>
      </c>
      <c r="B17">
        <v>4647509</v>
      </c>
      <c r="C17">
        <v>4647502</v>
      </c>
      <c r="D17">
        <v>4073005</v>
      </c>
      <c r="E17">
        <v>1</v>
      </c>
      <c r="F17">
        <v>1</v>
      </c>
      <c r="G17">
        <v>1</v>
      </c>
      <c r="H17">
        <v>3</v>
      </c>
      <c r="I17" t="s">
        <v>257</v>
      </c>
      <c r="J17" t="s">
        <v>258</v>
      </c>
      <c r="K17" t="s">
        <v>259</v>
      </c>
      <c r="L17">
        <v>1348</v>
      </c>
      <c r="N17">
        <v>1009</v>
      </c>
      <c r="O17" t="s">
        <v>235</v>
      </c>
      <c r="P17" t="s">
        <v>235</v>
      </c>
      <c r="Q17">
        <v>1000</v>
      </c>
      <c r="Y17">
        <v>0.324</v>
      </c>
      <c r="AA17">
        <v>11200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0.324</v>
      </c>
      <c r="AV17">
        <v>0</v>
      </c>
    </row>
    <row r="18" spans="1:48" ht="12.75">
      <c r="A18">
        <f>ROW(Source!A26)</f>
        <v>26</v>
      </c>
      <c r="B18">
        <v>4647510</v>
      </c>
      <c r="C18">
        <v>4647502</v>
      </c>
      <c r="D18">
        <v>4125739</v>
      </c>
      <c r="E18">
        <v>1</v>
      </c>
      <c r="F18">
        <v>1</v>
      </c>
      <c r="G18">
        <v>1</v>
      </c>
      <c r="H18">
        <v>3</v>
      </c>
      <c r="I18" t="s">
        <v>232</v>
      </c>
      <c r="J18" t="s">
        <v>233</v>
      </c>
      <c r="K18" t="s">
        <v>234</v>
      </c>
      <c r="L18">
        <v>1348</v>
      </c>
      <c r="N18">
        <v>1009</v>
      </c>
      <c r="O18" t="s">
        <v>235</v>
      </c>
      <c r="P18" t="s">
        <v>235</v>
      </c>
      <c r="Q18">
        <v>1000</v>
      </c>
      <c r="Y18">
        <v>0.33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0.33</v>
      </c>
      <c r="AV18">
        <v>0</v>
      </c>
    </row>
    <row r="19" spans="1:48" ht="12.75">
      <c r="A19">
        <f>ROW(Source!A27)</f>
        <v>27</v>
      </c>
      <c r="B19">
        <v>4647512</v>
      </c>
      <c r="C19">
        <v>4647511</v>
      </c>
      <c r="D19">
        <v>4160808</v>
      </c>
      <c r="E19">
        <v>1</v>
      </c>
      <c r="F19">
        <v>1</v>
      </c>
      <c r="G19">
        <v>1</v>
      </c>
      <c r="H19">
        <v>1</v>
      </c>
      <c r="I19" t="s">
        <v>260</v>
      </c>
      <c r="K19" t="s">
        <v>261</v>
      </c>
      <c r="L19">
        <v>1476</v>
      </c>
      <c r="N19">
        <v>1013</v>
      </c>
      <c r="O19" t="s">
        <v>226</v>
      </c>
      <c r="P19" t="s">
        <v>227</v>
      </c>
      <c r="Q19">
        <v>1</v>
      </c>
      <c r="Y19">
        <v>47.23</v>
      </c>
      <c r="AA19">
        <v>0</v>
      </c>
      <c r="AB19">
        <v>0</v>
      </c>
      <c r="AC19">
        <v>0</v>
      </c>
      <c r="AD19">
        <v>8.62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47.23</v>
      </c>
      <c r="AV19">
        <v>1</v>
      </c>
    </row>
    <row r="20" spans="1:48" ht="12.75">
      <c r="A20">
        <f>ROW(Source!A27)</f>
        <v>27</v>
      </c>
      <c r="B20">
        <v>4647513</v>
      </c>
      <c r="C20">
        <v>4647511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24</v>
      </c>
      <c r="K20" t="s">
        <v>238</v>
      </c>
      <c r="L20">
        <v>608254</v>
      </c>
      <c r="N20">
        <v>1013</v>
      </c>
      <c r="O20" t="s">
        <v>239</v>
      </c>
      <c r="P20" t="s">
        <v>239</v>
      </c>
      <c r="Q20">
        <v>1</v>
      </c>
      <c r="Y20">
        <v>1.19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1.19</v>
      </c>
      <c r="AV20">
        <v>2</v>
      </c>
    </row>
    <row r="21" spans="1:48" ht="12.75">
      <c r="A21">
        <f>ROW(Source!A27)</f>
        <v>27</v>
      </c>
      <c r="B21">
        <v>4647514</v>
      </c>
      <c r="C21">
        <v>4647511</v>
      </c>
      <c r="D21">
        <v>4064135</v>
      </c>
      <c r="E21">
        <v>1</v>
      </c>
      <c r="F21">
        <v>1</v>
      </c>
      <c r="G21">
        <v>1</v>
      </c>
      <c r="H21">
        <v>2</v>
      </c>
      <c r="I21" t="s">
        <v>262</v>
      </c>
      <c r="J21" t="s">
        <v>263</v>
      </c>
      <c r="K21" t="s">
        <v>264</v>
      </c>
      <c r="L21">
        <v>1480</v>
      </c>
      <c r="N21">
        <v>1013</v>
      </c>
      <c r="O21" t="s">
        <v>265</v>
      </c>
      <c r="P21" t="s">
        <v>266</v>
      </c>
      <c r="Q21">
        <v>1</v>
      </c>
      <c r="Y21">
        <v>0.5</v>
      </c>
      <c r="AA21">
        <v>0</v>
      </c>
      <c r="AB21">
        <v>118.84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0.5</v>
      </c>
      <c r="AV21">
        <v>0</v>
      </c>
    </row>
    <row r="22" spans="1:48" ht="12.75">
      <c r="A22">
        <f>ROW(Source!A27)</f>
        <v>27</v>
      </c>
      <c r="B22">
        <v>4647515</v>
      </c>
      <c r="C22">
        <v>4647511</v>
      </c>
      <c r="D22">
        <v>4064233</v>
      </c>
      <c r="E22">
        <v>1</v>
      </c>
      <c r="F22">
        <v>1</v>
      </c>
      <c r="G22">
        <v>1</v>
      </c>
      <c r="H22">
        <v>2</v>
      </c>
      <c r="I22" t="s">
        <v>267</v>
      </c>
      <c r="J22" t="s">
        <v>268</v>
      </c>
      <c r="K22" t="s">
        <v>269</v>
      </c>
      <c r="L22">
        <v>1368</v>
      </c>
      <c r="N22">
        <v>1011</v>
      </c>
      <c r="O22" t="s">
        <v>231</v>
      </c>
      <c r="P22" t="s">
        <v>231</v>
      </c>
      <c r="Q22">
        <v>1</v>
      </c>
      <c r="Y22">
        <v>0.29</v>
      </c>
      <c r="AA22">
        <v>0</v>
      </c>
      <c r="AB22">
        <v>123.73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0.29</v>
      </c>
      <c r="AV22">
        <v>0</v>
      </c>
    </row>
    <row r="23" spans="1:48" ht="12.75">
      <c r="A23">
        <f>ROW(Source!A27)</f>
        <v>27</v>
      </c>
      <c r="B23">
        <v>4647516</v>
      </c>
      <c r="C23">
        <v>4647511</v>
      </c>
      <c r="D23">
        <v>4067370</v>
      </c>
      <c r="E23">
        <v>1</v>
      </c>
      <c r="F23">
        <v>1</v>
      </c>
      <c r="G23">
        <v>1</v>
      </c>
      <c r="H23">
        <v>2</v>
      </c>
      <c r="I23" t="s">
        <v>240</v>
      </c>
      <c r="J23" t="s">
        <v>241</v>
      </c>
      <c r="K23" t="s">
        <v>242</v>
      </c>
      <c r="L23">
        <v>1368</v>
      </c>
      <c r="N23">
        <v>1011</v>
      </c>
      <c r="O23" t="s">
        <v>231</v>
      </c>
      <c r="P23" t="s">
        <v>231</v>
      </c>
      <c r="Q23">
        <v>1</v>
      </c>
      <c r="Y23">
        <v>0.4</v>
      </c>
      <c r="AA23">
        <v>0</v>
      </c>
      <c r="AB23">
        <v>60.77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0.4</v>
      </c>
      <c r="AV23">
        <v>0</v>
      </c>
    </row>
    <row r="24" spans="1:48" ht="12.75">
      <c r="A24">
        <f>ROW(Source!A27)</f>
        <v>27</v>
      </c>
      <c r="B24">
        <v>4647517</v>
      </c>
      <c r="C24">
        <v>4647511</v>
      </c>
      <c r="D24">
        <v>4067865</v>
      </c>
      <c r="E24">
        <v>1</v>
      </c>
      <c r="F24">
        <v>1</v>
      </c>
      <c r="G24">
        <v>1</v>
      </c>
      <c r="H24">
        <v>3</v>
      </c>
      <c r="I24" t="s">
        <v>270</v>
      </c>
      <c r="J24" t="s">
        <v>271</v>
      </c>
      <c r="K24" t="s">
        <v>272</v>
      </c>
      <c r="L24">
        <v>1327</v>
      </c>
      <c r="N24">
        <v>1005</v>
      </c>
      <c r="O24" t="s">
        <v>273</v>
      </c>
      <c r="P24" t="s">
        <v>273</v>
      </c>
      <c r="Q24">
        <v>1</v>
      </c>
      <c r="Y24">
        <v>130</v>
      </c>
      <c r="AA24">
        <v>21.57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130</v>
      </c>
      <c r="AV24">
        <v>0</v>
      </c>
    </row>
    <row r="25" spans="1:48" ht="12.75">
      <c r="A25">
        <f>ROW(Source!A27)</f>
        <v>27</v>
      </c>
      <c r="B25">
        <v>4647518</v>
      </c>
      <c r="C25">
        <v>4647511</v>
      </c>
      <c r="D25">
        <v>4068019</v>
      </c>
      <c r="E25">
        <v>1</v>
      </c>
      <c r="F25">
        <v>1</v>
      </c>
      <c r="G25">
        <v>1</v>
      </c>
      <c r="H25">
        <v>3</v>
      </c>
      <c r="I25" t="s">
        <v>274</v>
      </c>
      <c r="J25" t="s">
        <v>275</v>
      </c>
      <c r="K25" t="s">
        <v>276</v>
      </c>
      <c r="L25">
        <v>1348</v>
      </c>
      <c r="N25">
        <v>1009</v>
      </c>
      <c r="O25" t="s">
        <v>235</v>
      </c>
      <c r="P25" t="s">
        <v>235</v>
      </c>
      <c r="Q25">
        <v>1000</v>
      </c>
      <c r="Y25">
        <v>0.004</v>
      </c>
      <c r="AA25">
        <v>15151.43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0.004</v>
      </c>
      <c r="AV25">
        <v>0</v>
      </c>
    </row>
    <row r="26" spans="1:48" ht="12.75">
      <c r="A26">
        <f>ROW(Source!A27)</f>
        <v>27</v>
      </c>
      <c r="B26">
        <v>4647519</v>
      </c>
      <c r="C26">
        <v>4647511</v>
      </c>
      <c r="D26">
        <v>4069578</v>
      </c>
      <c r="E26">
        <v>1</v>
      </c>
      <c r="F26">
        <v>1</v>
      </c>
      <c r="G26">
        <v>1</v>
      </c>
      <c r="H26">
        <v>3</v>
      </c>
      <c r="I26" t="s">
        <v>277</v>
      </c>
      <c r="J26" t="s">
        <v>278</v>
      </c>
      <c r="K26" t="s">
        <v>279</v>
      </c>
      <c r="L26">
        <v>1348</v>
      </c>
      <c r="N26">
        <v>1009</v>
      </c>
      <c r="O26" t="s">
        <v>235</v>
      </c>
      <c r="P26" t="s">
        <v>235</v>
      </c>
      <c r="Q26">
        <v>1000</v>
      </c>
      <c r="Y26">
        <v>0.027</v>
      </c>
      <c r="AA26">
        <v>9571.02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0.027</v>
      </c>
      <c r="AV26">
        <v>0</v>
      </c>
    </row>
    <row r="27" spans="1:48" ht="12.75">
      <c r="A27">
        <f>ROW(Source!A27)</f>
        <v>27</v>
      </c>
      <c r="B27">
        <v>4647520</v>
      </c>
      <c r="C27">
        <v>4647511</v>
      </c>
      <c r="D27">
        <v>4069738</v>
      </c>
      <c r="E27">
        <v>1</v>
      </c>
      <c r="F27">
        <v>1</v>
      </c>
      <c r="G27">
        <v>1</v>
      </c>
      <c r="H27">
        <v>3</v>
      </c>
      <c r="I27" t="s">
        <v>280</v>
      </c>
      <c r="J27" t="s">
        <v>281</v>
      </c>
      <c r="K27" t="s">
        <v>282</v>
      </c>
      <c r="L27">
        <v>1327</v>
      </c>
      <c r="N27">
        <v>1005</v>
      </c>
      <c r="O27" t="s">
        <v>273</v>
      </c>
      <c r="P27" t="s">
        <v>273</v>
      </c>
      <c r="Q27">
        <v>1</v>
      </c>
      <c r="Y27">
        <v>1.58</v>
      </c>
      <c r="AA27">
        <v>4.75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1.58</v>
      </c>
      <c r="AV27">
        <v>0</v>
      </c>
    </row>
    <row r="28" spans="1:48" ht="12.75">
      <c r="A28">
        <f>ROW(Source!A27)</f>
        <v>27</v>
      </c>
      <c r="B28">
        <v>4647521</v>
      </c>
      <c r="C28">
        <v>4647511</v>
      </c>
      <c r="D28">
        <v>4071695</v>
      </c>
      <c r="E28">
        <v>1</v>
      </c>
      <c r="F28">
        <v>1</v>
      </c>
      <c r="G28">
        <v>1</v>
      </c>
      <c r="H28">
        <v>3</v>
      </c>
      <c r="I28" t="s">
        <v>243</v>
      </c>
      <c r="J28" t="s">
        <v>244</v>
      </c>
      <c r="K28" t="s">
        <v>245</v>
      </c>
      <c r="L28">
        <v>1348</v>
      </c>
      <c r="N28">
        <v>1009</v>
      </c>
      <c r="O28" t="s">
        <v>235</v>
      </c>
      <c r="P28" t="s">
        <v>235</v>
      </c>
      <c r="Q28">
        <v>1000</v>
      </c>
      <c r="Y28">
        <v>0.00014</v>
      </c>
      <c r="AA28">
        <v>7696.95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0.00014</v>
      </c>
      <c r="AV28">
        <v>0</v>
      </c>
    </row>
    <row r="29" spans="1:48" ht="12.75">
      <c r="A29">
        <f>ROW(Source!A27)</f>
        <v>27</v>
      </c>
      <c r="B29">
        <v>4647522</v>
      </c>
      <c r="C29">
        <v>4647511</v>
      </c>
      <c r="D29">
        <v>4071805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1348</v>
      </c>
      <c r="N29">
        <v>1009</v>
      </c>
      <c r="O29" t="s">
        <v>235</v>
      </c>
      <c r="P29" t="s">
        <v>235</v>
      </c>
      <c r="Q29">
        <v>1000</v>
      </c>
      <c r="Y29">
        <v>0.02</v>
      </c>
      <c r="AA29">
        <v>12215.47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0.02</v>
      </c>
      <c r="AV29">
        <v>0</v>
      </c>
    </row>
    <row r="30" spans="1:48" ht="12.75">
      <c r="A30">
        <f>ROW(Source!A27)</f>
        <v>27</v>
      </c>
      <c r="B30">
        <v>4647523</v>
      </c>
      <c r="C30">
        <v>4647511</v>
      </c>
      <c r="D30">
        <v>4072041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289</v>
      </c>
      <c r="P30" t="s">
        <v>289</v>
      </c>
      <c r="Q30">
        <v>1</v>
      </c>
      <c r="Y30">
        <v>0.1</v>
      </c>
      <c r="AA30">
        <v>51.2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</v>
      </c>
      <c r="AV30">
        <v>0</v>
      </c>
    </row>
    <row r="31" spans="1:48" ht="12.75">
      <c r="A31">
        <f>ROW(Source!A27)</f>
        <v>27</v>
      </c>
      <c r="B31">
        <v>4647524</v>
      </c>
      <c r="C31">
        <v>4647511</v>
      </c>
      <c r="D31">
        <v>4073715</v>
      </c>
      <c r="E31">
        <v>1</v>
      </c>
      <c r="F31">
        <v>1</v>
      </c>
      <c r="G31">
        <v>1</v>
      </c>
      <c r="H31">
        <v>3</v>
      </c>
      <c r="I31" t="s">
        <v>290</v>
      </c>
      <c r="J31" t="s">
        <v>291</v>
      </c>
      <c r="K31" t="s">
        <v>292</v>
      </c>
      <c r="L31">
        <v>1371</v>
      </c>
      <c r="N31">
        <v>1013</v>
      </c>
      <c r="O31" t="s">
        <v>293</v>
      </c>
      <c r="P31" t="s">
        <v>293</v>
      </c>
      <c r="Q31">
        <v>1</v>
      </c>
      <c r="Y31">
        <v>20</v>
      </c>
      <c r="AA31">
        <v>5.89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20</v>
      </c>
      <c r="AV31">
        <v>0</v>
      </c>
    </row>
    <row r="32" spans="1:48" ht="12.75">
      <c r="A32">
        <f>ROW(Source!A27)</f>
        <v>27</v>
      </c>
      <c r="B32">
        <v>4647525</v>
      </c>
      <c r="C32">
        <v>4647511</v>
      </c>
      <c r="D32">
        <v>4101246</v>
      </c>
      <c r="E32">
        <v>1</v>
      </c>
      <c r="F32">
        <v>1</v>
      </c>
      <c r="G32">
        <v>1</v>
      </c>
      <c r="H32">
        <v>3</v>
      </c>
      <c r="I32" t="s">
        <v>294</v>
      </c>
      <c r="J32" t="s">
        <v>295</v>
      </c>
      <c r="K32" t="s">
        <v>296</v>
      </c>
      <c r="L32">
        <v>1339</v>
      </c>
      <c r="N32">
        <v>1007</v>
      </c>
      <c r="O32" t="s">
        <v>57</v>
      </c>
      <c r="P32" t="s">
        <v>57</v>
      </c>
      <c r="Q32">
        <v>1</v>
      </c>
      <c r="Y32">
        <v>0.02</v>
      </c>
      <c r="AA32">
        <v>424.88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0.02</v>
      </c>
      <c r="AV32">
        <v>0</v>
      </c>
    </row>
    <row r="33" spans="1:48" ht="12.75">
      <c r="A33">
        <f>ROW(Source!A28)</f>
        <v>28</v>
      </c>
      <c r="B33">
        <v>4647527</v>
      </c>
      <c r="C33">
        <v>4647526</v>
      </c>
      <c r="D33">
        <v>4161716</v>
      </c>
      <c r="E33">
        <v>1</v>
      </c>
      <c r="F33">
        <v>1</v>
      </c>
      <c r="G33">
        <v>1</v>
      </c>
      <c r="H33">
        <v>1</v>
      </c>
      <c r="I33" t="s">
        <v>297</v>
      </c>
      <c r="K33" t="s">
        <v>298</v>
      </c>
      <c r="L33">
        <v>1476</v>
      </c>
      <c r="N33">
        <v>1013</v>
      </c>
      <c r="O33" t="s">
        <v>226</v>
      </c>
      <c r="P33" t="s">
        <v>227</v>
      </c>
      <c r="Q33">
        <v>1</v>
      </c>
      <c r="Y33">
        <v>31.84</v>
      </c>
      <c r="AA33">
        <v>0</v>
      </c>
      <c r="AB33">
        <v>0</v>
      </c>
      <c r="AC33">
        <v>0</v>
      </c>
      <c r="AD33">
        <v>8.74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31.84</v>
      </c>
      <c r="AV33">
        <v>1</v>
      </c>
    </row>
    <row r="34" spans="1:48" ht="12.75">
      <c r="A34">
        <f>ROW(Source!A28)</f>
        <v>28</v>
      </c>
      <c r="B34">
        <v>4647528</v>
      </c>
      <c r="C34">
        <v>4647526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24</v>
      </c>
      <c r="K34" t="s">
        <v>238</v>
      </c>
      <c r="L34">
        <v>608254</v>
      </c>
      <c r="N34">
        <v>1013</v>
      </c>
      <c r="O34" t="s">
        <v>239</v>
      </c>
      <c r="P34" t="s">
        <v>239</v>
      </c>
      <c r="Q34">
        <v>1</v>
      </c>
      <c r="Y34">
        <v>0.18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0.18</v>
      </c>
      <c r="AV34">
        <v>2</v>
      </c>
    </row>
    <row r="35" spans="1:48" ht="12.75">
      <c r="A35">
        <f>ROW(Source!A28)</f>
        <v>28</v>
      </c>
      <c r="B35">
        <v>4647529</v>
      </c>
      <c r="C35">
        <v>4647526</v>
      </c>
      <c r="D35">
        <v>4067370</v>
      </c>
      <c r="E35">
        <v>1</v>
      </c>
      <c r="F35">
        <v>1</v>
      </c>
      <c r="G35">
        <v>1</v>
      </c>
      <c r="H35">
        <v>2</v>
      </c>
      <c r="I35" t="s">
        <v>240</v>
      </c>
      <c r="J35" t="s">
        <v>241</v>
      </c>
      <c r="K35" t="s">
        <v>242</v>
      </c>
      <c r="L35">
        <v>1368</v>
      </c>
      <c r="N35">
        <v>1011</v>
      </c>
      <c r="O35" t="s">
        <v>231</v>
      </c>
      <c r="P35" t="s">
        <v>231</v>
      </c>
      <c r="Q35">
        <v>1</v>
      </c>
      <c r="Y35">
        <v>0.18</v>
      </c>
      <c r="AA35">
        <v>0</v>
      </c>
      <c r="AB35">
        <v>60.77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0.18</v>
      </c>
      <c r="AV35">
        <v>0</v>
      </c>
    </row>
    <row r="36" spans="1:48" ht="12.75">
      <c r="A36">
        <f>ROW(Source!A28)</f>
        <v>28</v>
      </c>
      <c r="B36">
        <v>4647530</v>
      </c>
      <c r="C36">
        <v>4647526</v>
      </c>
      <c r="D36">
        <v>4071695</v>
      </c>
      <c r="E36">
        <v>1</v>
      </c>
      <c r="F36">
        <v>1</v>
      </c>
      <c r="G36">
        <v>1</v>
      </c>
      <c r="H36">
        <v>3</v>
      </c>
      <c r="I36" t="s">
        <v>243</v>
      </c>
      <c r="J36" t="s">
        <v>244</v>
      </c>
      <c r="K36" t="s">
        <v>245</v>
      </c>
      <c r="L36">
        <v>1348</v>
      </c>
      <c r="N36">
        <v>1009</v>
      </c>
      <c r="O36" t="s">
        <v>235</v>
      </c>
      <c r="P36" t="s">
        <v>235</v>
      </c>
      <c r="Q36">
        <v>1000</v>
      </c>
      <c r="Y36">
        <v>0.002</v>
      </c>
      <c r="AA36">
        <v>7696.95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0.002</v>
      </c>
      <c r="AV36">
        <v>0</v>
      </c>
    </row>
    <row r="37" spans="1:48" ht="12.75">
      <c r="A37">
        <f>ROW(Source!A28)</f>
        <v>28</v>
      </c>
      <c r="B37">
        <v>4647531</v>
      </c>
      <c r="C37">
        <v>4647526</v>
      </c>
      <c r="D37">
        <v>4074016</v>
      </c>
      <c r="E37">
        <v>1</v>
      </c>
      <c r="F37">
        <v>1</v>
      </c>
      <c r="G37">
        <v>1</v>
      </c>
      <c r="H37">
        <v>3</v>
      </c>
      <c r="I37" t="s">
        <v>299</v>
      </c>
      <c r="J37" t="s">
        <v>300</v>
      </c>
      <c r="K37" t="s">
        <v>301</v>
      </c>
      <c r="L37">
        <v>1339</v>
      </c>
      <c r="N37">
        <v>1007</v>
      </c>
      <c r="O37" t="s">
        <v>57</v>
      </c>
      <c r="P37" t="s">
        <v>57</v>
      </c>
      <c r="Q37">
        <v>1</v>
      </c>
      <c r="Y37">
        <v>0.363</v>
      </c>
      <c r="AA37">
        <v>1321.36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0.363</v>
      </c>
      <c r="AV37">
        <v>0</v>
      </c>
    </row>
    <row r="38" spans="1:48" ht="12.75">
      <c r="A38">
        <f>ROW(Source!A28)</f>
        <v>28</v>
      </c>
      <c r="B38">
        <v>4647532</v>
      </c>
      <c r="C38">
        <v>4647526</v>
      </c>
      <c r="D38">
        <v>4125739</v>
      </c>
      <c r="E38">
        <v>1</v>
      </c>
      <c r="F38">
        <v>1</v>
      </c>
      <c r="G38">
        <v>1</v>
      </c>
      <c r="H38">
        <v>3</v>
      </c>
      <c r="I38" t="s">
        <v>232</v>
      </c>
      <c r="J38" t="s">
        <v>233</v>
      </c>
      <c r="K38" t="s">
        <v>234</v>
      </c>
      <c r="L38">
        <v>1348</v>
      </c>
      <c r="N38">
        <v>1009</v>
      </c>
      <c r="O38" t="s">
        <v>235</v>
      </c>
      <c r="P38" t="s">
        <v>235</v>
      </c>
      <c r="Q38">
        <v>1000</v>
      </c>
      <c r="Y38">
        <v>0.25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0.25</v>
      </c>
      <c r="AV38">
        <v>0</v>
      </c>
    </row>
    <row r="39" spans="1:48" ht="12.75">
      <c r="A39">
        <f>ROW(Source!A29)</f>
        <v>29</v>
      </c>
      <c r="B39">
        <v>4647543</v>
      </c>
      <c r="C39">
        <v>4647542</v>
      </c>
      <c r="D39">
        <v>4159377</v>
      </c>
      <c r="E39">
        <v>1</v>
      </c>
      <c r="F39">
        <v>1</v>
      </c>
      <c r="G39">
        <v>1</v>
      </c>
      <c r="H39">
        <v>1</v>
      </c>
      <c r="I39" t="s">
        <v>302</v>
      </c>
      <c r="K39" t="s">
        <v>303</v>
      </c>
      <c r="L39">
        <v>1476</v>
      </c>
      <c r="N39">
        <v>1013</v>
      </c>
      <c r="O39" t="s">
        <v>226</v>
      </c>
      <c r="P39" t="s">
        <v>227</v>
      </c>
      <c r="Q39">
        <v>1</v>
      </c>
      <c r="Y39">
        <v>27.8185</v>
      </c>
      <c r="AA39">
        <v>0</v>
      </c>
      <c r="AB39">
        <v>0</v>
      </c>
      <c r="AC39">
        <v>0</v>
      </c>
      <c r="AD39">
        <v>8.07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24.19</v>
      </c>
      <c r="AU39" t="s">
        <v>50</v>
      </c>
      <c r="AV39">
        <v>1</v>
      </c>
    </row>
    <row r="40" spans="1:48" ht="12.75">
      <c r="A40">
        <f>ROW(Source!A29)</f>
        <v>29</v>
      </c>
      <c r="B40">
        <v>4647544</v>
      </c>
      <c r="C40">
        <v>4647542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24</v>
      </c>
      <c r="K40" t="s">
        <v>238</v>
      </c>
      <c r="L40">
        <v>608254</v>
      </c>
      <c r="N40">
        <v>1013</v>
      </c>
      <c r="O40" t="s">
        <v>239</v>
      </c>
      <c r="P40" t="s">
        <v>239</v>
      </c>
      <c r="Q40">
        <v>1</v>
      </c>
      <c r="Y40">
        <v>25.75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20.6</v>
      </c>
      <c r="AU40" t="s">
        <v>49</v>
      </c>
      <c r="AV40">
        <v>2</v>
      </c>
    </row>
    <row r="41" spans="1:48" ht="12.75">
      <c r="A41">
        <f>ROW(Source!A29)</f>
        <v>29</v>
      </c>
      <c r="B41">
        <v>4647545</v>
      </c>
      <c r="C41">
        <v>4647542</v>
      </c>
      <c r="D41">
        <v>4064432</v>
      </c>
      <c r="E41">
        <v>1</v>
      </c>
      <c r="F41">
        <v>1</v>
      </c>
      <c r="G41">
        <v>1</v>
      </c>
      <c r="H41">
        <v>2</v>
      </c>
      <c r="I41" t="s">
        <v>304</v>
      </c>
      <c r="J41" t="s">
        <v>305</v>
      </c>
      <c r="K41" t="s">
        <v>306</v>
      </c>
      <c r="L41">
        <v>1368</v>
      </c>
      <c r="N41">
        <v>1011</v>
      </c>
      <c r="O41" t="s">
        <v>231</v>
      </c>
      <c r="P41" t="s">
        <v>231</v>
      </c>
      <c r="Q41">
        <v>1</v>
      </c>
      <c r="Y41">
        <v>3.075</v>
      </c>
      <c r="AA41">
        <v>0</v>
      </c>
      <c r="AB41">
        <v>89.34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2.46</v>
      </c>
      <c r="AU41" t="s">
        <v>49</v>
      </c>
      <c r="AV41">
        <v>0</v>
      </c>
    </row>
    <row r="42" spans="1:48" ht="12.75">
      <c r="A42">
        <f>ROW(Source!A29)</f>
        <v>29</v>
      </c>
      <c r="B42">
        <v>4647546</v>
      </c>
      <c r="C42">
        <v>4647542</v>
      </c>
      <c r="D42">
        <v>4064774</v>
      </c>
      <c r="E42">
        <v>1</v>
      </c>
      <c r="F42">
        <v>1</v>
      </c>
      <c r="G42">
        <v>1</v>
      </c>
      <c r="H42">
        <v>2</v>
      </c>
      <c r="I42" t="s">
        <v>307</v>
      </c>
      <c r="J42" t="s">
        <v>308</v>
      </c>
      <c r="K42" t="s">
        <v>309</v>
      </c>
      <c r="L42">
        <v>1368</v>
      </c>
      <c r="N42">
        <v>1011</v>
      </c>
      <c r="O42" t="s">
        <v>231</v>
      </c>
      <c r="P42" t="s">
        <v>231</v>
      </c>
      <c r="Q42">
        <v>1</v>
      </c>
      <c r="Y42">
        <v>3.2375</v>
      </c>
      <c r="AA42">
        <v>0</v>
      </c>
      <c r="AB42">
        <v>107.72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2.59</v>
      </c>
      <c r="AU42" t="s">
        <v>49</v>
      </c>
      <c r="AV42">
        <v>0</v>
      </c>
    </row>
    <row r="43" spans="1:48" ht="12.75">
      <c r="A43">
        <f>ROW(Source!A29)</f>
        <v>29</v>
      </c>
      <c r="B43">
        <v>4647547</v>
      </c>
      <c r="C43">
        <v>4647542</v>
      </c>
      <c r="D43">
        <v>4065255</v>
      </c>
      <c r="E43">
        <v>1</v>
      </c>
      <c r="F43">
        <v>1</v>
      </c>
      <c r="G43">
        <v>1</v>
      </c>
      <c r="H43">
        <v>2</v>
      </c>
      <c r="I43" t="s">
        <v>310</v>
      </c>
      <c r="J43" t="s">
        <v>311</v>
      </c>
      <c r="K43" t="s">
        <v>312</v>
      </c>
      <c r="L43">
        <v>1480</v>
      </c>
      <c r="N43">
        <v>1013</v>
      </c>
      <c r="O43" t="s">
        <v>265</v>
      </c>
      <c r="P43" t="s">
        <v>266</v>
      </c>
      <c r="Q43">
        <v>1</v>
      </c>
      <c r="Y43">
        <v>2.875</v>
      </c>
      <c r="AA43">
        <v>0</v>
      </c>
      <c r="AB43">
        <v>142.86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2.3</v>
      </c>
      <c r="AU43" t="s">
        <v>49</v>
      </c>
      <c r="AV43">
        <v>0</v>
      </c>
    </row>
    <row r="44" spans="1:48" ht="12.75">
      <c r="A44">
        <f>ROW(Source!A29)</f>
        <v>29</v>
      </c>
      <c r="B44">
        <v>4647548</v>
      </c>
      <c r="C44">
        <v>4647542</v>
      </c>
      <c r="D44">
        <v>4065289</v>
      </c>
      <c r="E44">
        <v>1</v>
      </c>
      <c r="F44">
        <v>1</v>
      </c>
      <c r="G44">
        <v>1</v>
      </c>
      <c r="H44">
        <v>2</v>
      </c>
      <c r="I44" t="s">
        <v>313</v>
      </c>
      <c r="J44" t="s">
        <v>314</v>
      </c>
      <c r="K44" t="s">
        <v>315</v>
      </c>
      <c r="L44">
        <v>1480</v>
      </c>
      <c r="N44">
        <v>1013</v>
      </c>
      <c r="O44" t="s">
        <v>265</v>
      </c>
      <c r="P44" t="s">
        <v>266</v>
      </c>
      <c r="Q44">
        <v>1</v>
      </c>
      <c r="Y44">
        <v>15.2625</v>
      </c>
      <c r="AA44">
        <v>0</v>
      </c>
      <c r="AB44">
        <v>220.09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12.21</v>
      </c>
      <c r="AU44" t="s">
        <v>49</v>
      </c>
      <c r="AV44">
        <v>0</v>
      </c>
    </row>
    <row r="45" spans="1:48" ht="12.75">
      <c r="A45">
        <f>ROW(Source!A29)</f>
        <v>29</v>
      </c>
      <c r="B45">
        <v>4647549</v>
      </c>
      <c r="C45">
        <v>4647542</v>
      </c>
      <c r="D45">
        <v>4065337</v>
      </c>
      <c r="E45">
        <v>1</v>
      </c>
      <c r="F45">
        <v>1</v>
      </c>
      <c r="G45">
        <v>1</v>
      </c>
      <c r="H45">
        <v>2</v>
      </c>
      <c r="I45" t="s">
        <v>316</v>
      </c>
      <c r="J45" t="s">
        <v>317</v>
      </c>
      <c r="K45" t="s">
        <v>318</v>
      </c>
      <c r="L45">
        <v>1480</v>
      </c>
      <c r="N45">
        <v>1013</v>
      </c>
      <c r="O45" t="s">
        <v>265</v>
      </c>
      <c r="P45" t="s">
        <v>266</v>
      </c>
      <c r="Q45">
        <v>1</v>
      </c>
      <c r="Y45">
        <v>1.3</v>
      </c>
      <c r="AA45">
        <v>0</v>
      </c>
      <c r="AB45">
        <v>116.88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1.04</v>
      </c>
      <c r="AU45" t="s">
        <v>49</v>
      </c>
      <c r="AV45">
        <v>0</v>
      </c>
    </row>
    <row r="46" spans="1:48" ht="12.75">
      <c r="A46">
        <f>ROW(Source!A29)</f>
        <v>29</v>
      </c>
      <c r="B46">
        <v>4647550</v>
      </c>
      <c r="C46">
        <v>4647542</v>
      </c>
      <c r="D46">
        <v>4102834</v>
      </c>
      <c r="E46">
        <v>1</v>
      </c>
      <c r="F46">
        <v>1</v>
      </c>
      <c r="G46">
        <v>1</v>
      </c>
      <c r="H46">
        <v>3</v>
      </c>
      <c r="I46" t="s">
        <v>55</v>
      </c>
      <c r="J46" t="s">
        <v>58</v>
      </c>
      <c r="K46" t="s">
        <v>56</v>
      </c>
      <c r="L46">
        <v>1339</v>
      </c>
      <c r="N46">
        <v>1007</v>
      </c>
      <c r="O46" t="s">
        <v>57</v>
      </c>
      <c r="P46" t="s">
        <v>57</v>
      </c>
      <c r="Q46">
        <v>1</v>
      </c>
      <c r="Y46">
        <v>100</v>
      </c>
      <c r="AA46">
        <v>161.76</v>
      </c>
      <c r="AB46">
        <v>0</v>
      </c>
      <c r="AC46">
        <v>0</v>
      </c>
      <c r="AD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T46">
        <v>100</v>
      </c>
      <c r="AV46">
        <v>0</v>
      </c>
    </row>
    <row r="47" spans="1:48" ht="12.75">
      <c r="A47">
        <f>ROW(Source!A29)</f>
        <v>29</v>
      </c>
      <c r="B47">
        <v>4647551</v>
      </c>
      <c r="C47">
        <v>4647542</v>
      </c>
      <c r="D47">
        <v>4103709</v>
      </c>
      <c r="E47">
        <v>1</v>
      </c>
      <c r="F47">
        <v>1</v>
      </c>
      <c r="G47">
        <v>1</v>
      </c>
      <c r="H47">
        <v>3</v>
      </c>
      <c r="I47" t="s">
        <v>319</v>
      </c>
      <c r="J47" t="s">
        <v>320</v>
      </c>
      <c r="K47" t="s">
        <v>321</v>
      </c>
      <c r="L47">
        <v>1339</v>
      </c>
      <c r="N47">
        <v>1007</v>
      </c>
      <c r="O47" t="s">
        <v>57</v>
      </c>
      <c r="P47" t="s">
        <v>57</v>
      </c>
      <c r="Q47">
        <v>1</v>
      </c>
      <c r="Y47">
        <v>7</v>
      </c>
      <c r="AA47">
        <v>3.2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7</v>
      </c>
      <c r="AV47">
        <v>0</v>
      </c>
    </row>
    <row r="48" spans="1:48" ht="12.75">
      <c r="A48">
        <f>ROW(Source!A31)</f>
        <v>31</v>
      </c>
      <c r="B48">
        <v>4647554</v>
      </c>
      <c r="C48">
        <v>4647553</v>
      </c>
      <c r="D48">
        <v>4162260</v>
      </c>
      <c r="E48">
        <v>1</v>
      </c>
      <c r="F48">
        <v>1</v>
      </c>
      <c r="G48">
        <v>1</v>
      </c>
      <c r="H48">
        <v>1</v>
      </c>
      <c r="I48" t="s">
        <v>322</v>
      </c>
      <c r="K48" t="s">
        <v>323</v>
      </c>
      <c r="L48">
        <v>1476</v>
      </c>
      <c r="N48">
        <v>1013</v>
      </c>
      <c r="O48" t="s">
        <v>226</v>
      </c>
      <c r="P48" t="s">
        <v>227</v>
      </c>
      <c r="Q48">
        <v>1</v>
      </c>
      <c r="Y48">
        <v>85.72</v>
      </c>
      <c r="AA48">
        <v>0</v>
      </c>
      <c r="AB48">
        <v>0</v>
      </c>
      <c r="AC48">
        <v>0</v>
      </c>
      <c r="AD48">
        <v>9.61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85.72</v>
      </c>
      <c r="AV48">
        <v>1</v>
      </c>
    </row>
    <row r="49" spans="1:48" ht="12.75">
      <c r="A49">
        <f>ROW(Source!A31)</f>
        <v>31</v>
      </c>
      <c r="B49">
        <v>4647555</v>
      </c>
      <c r="C49">
        <v>4647553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24</v>
      </c>
      <c r="K49" t="s">
        <v>238</v>
      </c>
      <c r="L49">
        <v>608254</v>
      </c>
      <c r="N49">
        <v>1013</v>
      </c>
      <c r="O49" t="s">
        <v>239</v>
      </c>
      <c r="P49" t="s">
        <v>239</v>
      </c>
      <c r="Q49">
        <v>1</v>
      </c>
      <c r="Y49">
        <v>31.22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31.22</v>
      </c>
      <c r="AV49">
        <v>2</v>
      </c>
    </row>
    <row r="50" spans="1:48" ht="12.75">
      <c r="A50">
        <f>ROW(Source!A31)</f>
        <v>31</v>
      </c>
      <c r="B50">
        <v>4647556</v>
      </c>
      <c r="C50">
        <v>4647553</v>
      </c>
      <c r="D50">
        <v>4065285</v>
      </c>
      <c r="E50">
        <v>1</v>
      </c>
      <c r="F50">
        <v>1</v>
      </c>
      <c r="G50">
        <v>1</v>
      </c>
      <c r="H50">
        <v>2</v>
      </c>
      <c r="I50" t="s">
        <v>324</v>
      </c>
      <c r="J50" t="s">
        <v>314</v>
      </c>
      <c r="K50" t="s">
        <v>325</v>
      </c>
      <c r="L50">
        <v>1480</v>
      </c>
      <c r="N50">
        <v>1013</v>
      </c>
      <c r="O50" t="s">
        <v>265</v>
      </c>
      <c r="P50" t="s">
        <v>266</v>
      </c>
      <c r="Q50">
        <v>1</v>
      </c>
      <c r="Y50">
        <v>11.74</v>
      </c>
      <c r="AA50">
        <v>0</v>
      </c>
      <c r="AB50">
        <v>85.93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11.74</v>
      </c>
      <c r="AV50">
        <v>0</v>
      </c>
    </row>
    <row r="51" spans="1:48" ht="12.75">
      <c r="A51">
        <f>ROW(Source!A31)</f>
        <v>31</v>
      </c>
      <c r="B51">
        <v>4647557</v>
      </c>
      <c r="C51">
        <v>4647553</v>
      </c>
      <c r="D51">
        <v>4065286</v>
      </c>
      <c r="E51">
        <v>1</v>
      </c>
      <c r="F51">
        <v>1</v>
      </c>
      <c r="G51">
        <v>1</v>
      </c>
      <c r="H51">
        <v>2</v>
      </c>
      <c r="I51" t="s">
        <v>326</v>
      </c>
      <c r="J51" t="s">
        <v>314</v>
      </c>
      <c r="K51" t="s">
        <v>327</v>
      </c>
      <c r="L51">
        <v>1480</v>
      </c>
      <c r="N51">
        <v>1013</v>
      </c>
      <c r="O51" t="s">
        <v>265</v>
      </c>
      <c r="P51" t="s">
        <v>266</v>
      </c>
      <c r="Q51">
        <v>1</v>
      </c>
      <c r="Y51">
        <v>18.68</v>
      </c>
      <c r="AA51">
        <v>0</v>
      </c>
      <c r="AB51">
        <v>106.56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18.68</v>
      </c>
      <c r="AV51">
        <v>0</v>
      </c>
    </row>
    <row r="52" spans="1:48" ht="12.75">
      <c r="A52">
        <f>ROW(Source!A31)</f>
        <v>31</v>
      </c>
      <c r="B52">
        <v>4647558</v>
      </c>
      <c r="C52">
        <v>4647553</v>
      </c>
      <c r="D52">
        <v>4065337</v>
      </c>
      <c r="E52">
        <v>1</v>
      </c>
      <c r="F52">
        <v>1</v>
      </c>
      <c r="G52">
        <v>1</v>
      </c>
      <c r="H52">
        <v>2</v>
      </c>
      <c r="I52" t="s">
        <v>316</v>
      </c>
      <c r="J52" t="s">
        <v>317</v>
      </c>
      <c r="K52" t="s">
        <v>318</v>
      </c>
      <c r="L52">
        <v>1480</v>
      </c>
      <c r="N52">
        <v>1013</v>
      </c>
      <c r="O52" t="s">
        <v>265</v>
      </c>
      <c r="P52" t="s">
        <v>266</v>
      </c>
      <c r="Q52">
        <v>1</v>
      </c>
      <c r="Y52">
        <v>0.8</v>
      </c>
      <c r="AA52">
        <v>0</v>
      </c>
      <c r="AB52">
        <v>116.88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0.8</v>
      </c>
      <c r="AV52">
        <v>0</v>
      </c>
    </row>
    <row r="53" spans="1:48" ht="12.75">
      <c r="A53">
        <f>ROW(Source!A31)</f>
        <v>31</v>
      </c>
      <c r="B53">
        <v>4647559</v>
      </c>
      <c r="C53">
        <v>4647553</v>
      </c>
      <c r="D53">
        <v>4068533</v>
      </c>
      <c r="E53">
        <v>1</v>
      </c>
      <c r="F53">
        <v>1</v>
      </c>
      <c r="G53">
        <v>1</v>
      </c>
      <c r="H53">
        <v>3</v>
      </c>
      <c r="I53" t="s">
        <v>328</v>
      </c>
      <c r="J53" t="s">
        <v>329</v>
      </c>
      <c r="K53" t="s">
        <v>330</v>
      </c>
      <c r="L53">
        <v>1348</v>
      </c>
      <c r="N53">
        <v>1009</v>
      </c>
      <c r="O53" t="s">
        <v>235</v>
      </c>
      <c r="P53" t="s">
        <v>235</v>
      </c>
      <c r="Q53">
        <v>1000</v>
      </c>
      <c r="Y53">
        <v>0.005</v>
      </c>
      <c r="AA53">
        <v>11587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0.005</v>
      </c>
      <c r="AV53">
        <v>0</v>
      </c>
    </row>
    <row r="54" spans="1:48" ht="12.75">
      <c r="A54">
        <f>ROW(Source!A31)</f>
        <v>31</v>
      </c>
      <c r="B54">
        <v>4647560</v>
      </c>
      <c r="C54">
        <v>4647553</v>
      </c>
      <c r="D54">
        <v>4103678</v>
      </c>
      <c r="E54">
        <v>1</v>
      </c>
      <c r="F54">
        <v>1</v>
      </c>
      <c r="G54">
        <v>1</v>
      </c>
      <c r="H54">
        <v>3</v>
      </c>
      <c r="I54" t="s">
        <v>331</v>
      </c>
      <c r="J54" t="s">
        <v>332</v>
      </c>
      <c r="K54" t="s">
        <v>333</v>
      </c>
      <c r="L54">
        <v>1348</v>
      </c>
      <c r="N54">
        <v>1009</v>
      </c>
      <c r="O54" t="s">
        <v>235</v>
      </c>
      <c r="P54" t="s">
        <v>235</v>
      </c>
      <c r="Q54">
        <v>1000</v>
      </c>
      <c r="Y54">
        <v>101</v>
      </c>
      <c r="AA54">
        <v>459.91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101</v>
      </c>
      <c r="AV54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2007-03-10T03:09:59Z</cp:lastPrinted>
  <dcterms:created xsi:type="dcterms:W3CDTF">2007-02-15T03:44:04Z</dcterms:created>
  <dcterms:modified xsi:type="dcterms:W3CDTF">2007-05-18T11:49:41Z</dcterms:modified>
  <cp:category/>
  <cp:version/>
  <cp:contentType/>
  <cp:contentStatus/>
</cp:coreProperties>
</file>