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" windowHeight="1065" activeTab="0"/>
  </bookViews>
  <sheets>
    <sheet name="Смета  11-гр. (2)" sheetId="1" r:id="rId1"/>
    <sheet name="Source" sheetId="2" r:id="rId2"/>
    <sheet name="SmtRes" sheetId="3" r:id="rId3"/>
    <sheet name="EtalonRes" sheetId="4" r:id="rId4"/>
    <sheet name="ClcRes" sheetId="5" r:id="rId5"/>
  </sheets>
  <definedNames>
    <definedName name="_xlnm.Print_Titles" localSheetId="0">'Смета  11-гр. (2)'!$24:$24</definedName>
  </definedNames>
  <calcPr fullCalcOnLoad="1"/>
</workbook>
</file>

<file path=xl/sharedStrings.xml><?xml version="1.0" encoding="utf-8"?>
<sst xmlns="http://schemas.openxmlformats.org/spreadsheetml/2006/main" count="797" uniqueCount="221">
  <si>
    <t>Smeta.ru  (495) 974-1589</t>
  </si>
  <si>
    <t>_PS_</t>
  </si>
  <si>
    <t>Smeta.ru</t>
  </si>
  <si>
    <t/>
  </si>
  <si>
    <t>Новый объект</t>
  </si>
  <si>
    <t>Сметные нормы списания</t>
  </si>
  <si>
    <t>Коды ценников</t>
  </si>
  <si>
    <t>Ульяновск</t>
  </si>
  <si>
    <t>Типовой расчёт для норм 2001 года  МДС 81.33-2004 и МДС 81.25-99 без параметров</t>
  </si>
  <si>
    <t>Поправки для НБ 2001 нов МДС</t>
  </si>
  <si>
    <t>Новая локальная смета</t>
  </si>
  <si>
    <t>{76E74F87-1D88-4AC8-A7F3-019025EAE678}</t>
  </si>
  <si>
    <t>1</t>
  </si>
  <si>
    <t>п07-10-011-1</t>
  </si>
  <si>
    <t>Теплопотребляющая система здания с тепловой нагрузкой, Гкал/ч, до 0.2</t>
  </si>
  <si>
    <t>1 система</t>
  </si>
  <si>
    <t>ТЕРп Ульяновской обл.,сб.07,гл.10,табл.011,поз.1</t>
  </si>
  <si>
    <t>Поправка: 15_3.8.  Наименование:  Устройство оснований под облицовку искусственным мрамором на поверхности суживающихся колонн</t>
  </si>
  <si>
    <t>)*1,15</t>
  </si>
  <si>
    <t>Пусконаладочные работы</t>
  </si>
  <si>
    <t>48</t>
  </si>
  <si>
    <t>Поправка: 15_3.8.</t>
  </si>
  <si>
    <t>2</t>
  </si>
  <si>
    <t>65-23-1</t>
  </si>
  <si>
    <t>Слив и наполнение водой системы отопления без осмотра системы</t>
  </si>
  <si>
    <t>1000 м3</t>
  </si>
  <si>
    <t>ТЕРр Ульяновской обл.,сб.65,поз.23-1</t>
  </si>
  <si>
    <t>1000 м3 объема здания</t>
  </si>
  <si>
    <t>Ремонтно-строительные работы</t>
  </si>
  <si>
    <t>Внутренние санитарно-технические работы смена труб</t>
  </si>
  <si>
    <t>65-2</t>
  </si>
  <si>
    <t>3</t>
  </si>
  <si>
    <t>65-25-3</t>
  </si>
  <si>
    <t>Смена кранов двойной регулировки</t>
  </si>
  <si>
    <t>100 шт.</t>
  </si>
  <si>
    <t>ТЕРр Ульяновской обл.,сб.65,поз.25-3</t>
  </si>
  <si>
    <t>)*2</t>
  </si>
  <si>
    <t>01. Снятие старого крана. 02. Подготовка нового крана к установке. 03. Установка нового крана.</t>
  </si>
  <si>
    <t>4</t>
  </si>
  <si>
    <t>300-0470</t>
  </si>
  <si>
    <t>Краны регулирующие двойной регулировки пробковые КРДП латунные, диаметром 20 мм</t>
  </si>
  <si>
    <t>шт.</t>
  </si>
  <si>
    <t>ТССЦ Ульяновской обл.,сб.300,поз.0470</t>
  </si>
  <si>
    <t>Материалы</t>
  </si>
  <si>
    <t>Материалы, изделия и конструкции</t>
  </si>
  <si>
    <t>материалы</t>
  </si>
  <si>
    <t>5</t>
  </si>
  <si>
    <t>65-6-10</t>
  </si>
  <si>
    <t>Смена санитарных приборов гибких подводок</t>
  </si>
  <si>
    <t>ТЕРр Ульяновской обл.,сб.65,поз.6-10</t>
  </si>
  <si>
    <t>01. Отсоединение приборов от трубопроводов. 02. Установка новых приборов с укреплением и присоединением к линии, заделкой раструбов.</t>
  </si>
  <si>
    <t>6</t>
  </si>
  <si>
    <t>300-1520</t>
  </si>
  <si>
    <t>Подводка гибкая армированная резиновая 500 мм</t>
  </si>
  <si>
    <t>ТССЦ Ульяновской обл.,сб.300,поз.1520</t>
  </si>
  <si>
    <t>7</t>
  </si>
  <si>
    <t>300-9353-005-73</t>
  </si>
  <si>
    <t>Пробки радиаторные:  d50</t>
  </si>
  <si>
    <t>ТССЦ Ульяновской обл.,сб.300,поз.9353-005-73</t>
  </si>
  <si>
    <t>8</t>
  </si>
  <si>
    <t>65-22-1</t>
  </si>
  <si>
    <t>Прочистка и промывка отопительных приборов радиаторов весом до 80 кг внутри здания</t>
  </si>
  <si>
    <t>ТЕРр Ульяновской обл.,сб.65,поз.22-1</t>
  </si>
  <si>
    <t>100 приборов</t>
  </si>
  <si>
    <t>01. Отсоединение приборов от трубопроводов. 02. Снятие приборов. 03. Прочистка и промывка. 04. Установка приборов на место. 05. Присоединение приборов к трубопроводу. 06. Выверка приборов после установки.</t>
  </si>
  <si>
    <t>9</t>
  </si>
  <si>
    <t>65-23-4</t>
  </si>
  <si>
    <t>Осмотр отремонтированных приборов отопления при наполнении системы водой</t>
  </si>
  <si>
    <t>ТЕРр Ульяновской обл.,сб.65,поз.23-4</t>
  </si>
  <si>
    <t>10</t>
  </si>
  <si>
    <t>Накладная</t>
  </si>
  <si>
    <t>"Экосан"</t>
  </si>
  <si>
    <t>л</t>
  </si>
  <si>
    <t>=15,29</t>
  </si>
  <si>
    <t>Прочие работы</t>
  </si>
  <si>
    <t>прочие</t>
  </si>
  <si>
    <t>ПЗ</t>
  </si>
  <si>
    <t>Прямые затраты</t>
  </si>
  <si>
    <t>СтМат</t>
  </si>
  <si>
    <t>Стоимость материалов</t>
  </si>
  <si>
    <t>ЭММ</t>
  </si>
  <si>
    <t>Эксплуатация машин</t>
  </si>
  <si>
    <t>ЗПМ</t>
  </si>
  <si>
    <t>ЗП машинистов</t>
  </si>
  <si>
    <t>ОЗП</t>
  </si>
  <si>
    <t>Основная ЗП рабочих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</si>
  <si>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</si>
  <si>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</si>
  <si>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</si>
  <si>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</si>
  <si>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</si>
  <si>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</si>
  <si>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</si>
  <si>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</si>
  <si>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</si>
  <si>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</si>
  <si>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</si>
  <si>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</si>
  <si>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Л1</t>
  </si>
  <si>
    <t>Индекс к эксплуатации машин и механизмов</t>
  </si>
  <si>
    <t>Л2</t>
  </si>
  <si>
    <t>Индекс к материалам</t>
  </si>
  <si>
    <t>Л3</t>
  </si>
  <si>
    <t>Индекс к основной заработной плате</t>
  </si>
  <si>
    <t>Л4</t>
  </si>
  <si>
    <t>Эксплуатация машин с учетом индекса, руб.</t>
  </si>
  <si>
    <t>Л5</t>
  </si>
  <si>
    <t>Стоимость материалов с учетом индекса, руб.</t>
  </si>
  <si>
    <t>Л6</t>
  </si>
  <si>
    <t>Зарплата машинистов с учетом индекса, руб.</t>
  </si>
  <si>
    <t>Л7</t>
  </si>
  <si>
    <t>Основная зарплата рабочих с учетом индекса, руб.</t>
  </si>
  <si>
    <t>ПЗинд</t>
  </si>
  <si>
    <t>Прямые затраты с учетом индекса, руб.</t>
  </si>
  <si>
    <t>Л8</t>
  </si>
  <si>
    <t>Коэффициент к накладным расходам</t>
  </si>
  <si>
    <t>Л9</t>
  </si>
  <si>
    <t>Накладные расходы с учетом индекса, руб.</t>
  </si>
  <si>
    <t>Л10</t>
  </si>
  <si>
    <t>Сметная прибыль с учетом индекса, руб.</t>
  </si>
  <si>
    <t>Л11</t>
  </si>
  <si>
    <t>ИТОГО ПО СМЕТЕ, руб.</t>
  </si>
  <si>
    <t>х1 %</t>
  </si>
  <si>
    <t>Временные здания и сооружения %</t>
  </si>
  <si>
    <t>х1 руб</t>
  </si>
  <si>
    <t>Временные здания и сооружения руб</t>
  </si>
  <si>
    <t>х1 итог</t>
  </si>
  <si>
    <t>Итого с временными зданиями и сооружениями</t>
  </si>
  <si>
    <t>х2 %</t>
  </si>
  <si>
    <t>Зимнее удорожание  %</t>
  </si>
  <si>
    <t>х2 руб</t>
  </si>
  <si>
    <t>Зимнее удорожание руб.</t>
  </si>
  <si>
    <t>х2 итог</t>
  </si>
  <si>
    <t>ИТОГ с зимним удорожанием</t>
  </si>
  <si>
    <t>х3 %</t>
  </si>
  <si>
    <t>Непредвиденные расходы  %</t>
  </si>
  <si>
    <t>х3 руб</t>
  </si>
  <si>
    <t>Непредвиденные расходы руб.</t>
  </si>
  <si>
    <t>х3 итог</t>
  </si>
  <si>
    <t>ИТОГ с непредвиденными расходами</t>
  </si>
  <si>
    <t>Итого с накрут</t>
  </si>
  <si>
    <t>Итого со всеми накрутками</t>
  </si>
  <si>
    <t>Л12</t>
  </si>
  <si>
    <t>НДС 18%</t>
  </si>
  <si>
    <t>Л13</t>
  </si>
  <si>
    <t>ИТОГО с НДС</t>
  </si>
  <si>
    <t>1-20.1-73</t>
  </si>
  <si>
    <t>Инженер I категории</t>
  </si>
  <si>
    <t>чел.ч</t>
  </si>
  <si>
    <t>ЧЕЛ.Ч</t>
  </si>
  <si>
    <t>1-20.2-73</t>
  </si>
  <si>
    <t>Инженер II категории</t>
  </si>
  <si>
    <t>1-20.3-73</t>
  </si>
  <si>
    <t>Инженер III категории</t>
  </si>
  <si>
    <t>1-1.7-73</t>
  </si>
  <si>
    <t>Затраты труда рабочих-строителей (средний разряд 1.7)</t>
  </si>
  <si>
    <t>1-3.0-73</t>
  </si>
  <si>
    <t>Затраты труда рабочих-строителей (средний разряд 3.0)</t>
  </si>
  <si>
    <t>101-0388</t>
  </si>
  <si>
    <t>ТССЦ Ульяновской обл.,сб.101,поз.0388</t>
  </si>
  <si>
    <t>Краски масляные земляные МА-0115: мумия, сурик железный</t>
  </si>
  <si>
    <t>т</t>
  </si>
  <si>
    <t>101-0628</t>
  </si>
  <si>
    <t>ТССЦ Ульяновской обл.,сб.101,поз.0628</t>
  </si>
  <si>
    <t>Олифа комбинированная К-3</t>
  </si>
  <si>
    <t>101-1669</t>
  </si>
  <si>
    <t>ТССЦ Ульяновской обл.,сб.101,поз.1669</t>
  </si>
  <si>
    <t>Очес льняной</t>
  </si>
  <si>
    <t>кг</t>
  </si>
  <si>
    <t>1-3.5-73</t>
  </si>
  <si>
    <t>Затраты труда рабочих-строителей (средний разряд 3.5)</t>
  </si>
  <si>
    <t>Затраты труда машинистов</t>
  </si>
  <si>
    <t>чел.час</t>
  </si>
  <si>
    <t>031121</t>
  </si>
  <si>
    <t>483583</t>
  </si>
  <si>
    <t>Подъемники мачтовые строительные 0.5 т</t>
  </si>
  <si>
    <t>маш.-ч</t>
  </si>
  <si>
    <t>400001</t>
  </si>
  <si>
    <t>451114</t>
  </si>
  <si>
    <t>Автомобили бортовые грузоподъемностью до 5 т</t>
  </si>
  <si>
    <t>1-3.1-73</t>
  </si>
  <si>
    <t>Затраты труда рабочих-строителей (средний разряд 3.1)</t>
  </si>
  <si>
    <t>411-0002</t>
  </si>
  <si>
    <t>ТССЦ Ульяновской обл.,сб.411,поз.0002</t>
  </si>
  <si>
    <t>Глина</t>
  </si>
  <si>
    <t>м3</t>
  </si>
  <si>
    <t>01. Выявление подготовленности источника тепла и тепловых сетей к заданному режиму отпуска тепла с измерением параметров работы сети в абонентских тепловых вводах здания и у источника тепла. 02. Выявление готовности теплопотребляющего оборудования к регулировке с проверкой внедрения выданных мероприятий. 03. Обработка полученных данных с систематизацией и анализом проверки выполнения наладочных мероприятий. 04. Составление заключения о готовности к проведению дальнейших наладочных работ.</t>
  </si>
  <si>
    <t>01. Слив воды из системы. 02. Hаполнение водой системы с предварительным осмотром системы до наполнения водой с постановкой деревянных пробок на свободные концы трубопровода и выключением расширительного бака (нормы 1, 2). 03. Hаполнение системы водой с выпуском воздуха (нормы 1, 2). 04. Осмотр системы во время наполнения водой (норма 2). 05. Осмотр отремонтированных приборов отопления при наполнении системы водой (норма 4).</t>
  </si>
  <si>
    <t>Утверждаю</t>
  </si>
  <si>
    <t>Смету в сумме</t>
  </si>
  <si>
    <t>Л О К А Л Ь Н А Я   С М Е Т А</t>
  </si>
  <si>
    <t>г. Ульяновск -  2007</t>
  </si>
  <si>
    <t xml:space="preserve">Сметная стоимость </t>
  </si>
  <si>
    <t xml:space="preserve">Нормативная трудоемкость </t>
  </si>
  <si>
    <t xml:space="preserve">Средства на оплату труда </t>
  </si>
  <si>
    <t>№ п/п</t>
  </si>
  <si>
    <t>Шифр и номер позиции норматива</t>
  </si>
  <si>
    <t>Наименование работ и затрат, единица измерения</t>
  </si>
  <si>
    <t>Количество</t>
  </si>
  <si>
    <t>Стоимость ед., руб.</t>
  </si>
  <si>
    <t>Общая стоимость, руб.</t>
  </si>
  <si>
    <t>Затраты труда, чел.-ч</t>
  </si>
  <si>
    <t>Всего</t>
  </si>
  <si>
    <t>Экспл. машин</t>
  </si>
  <si>
    <t>Основная зарплата</t>
  </si>
  <si>
    <t>основных рабочих</t>
  </si>
  <si>
    <t>машинистов</t>
  </si>
  <si>
    <t>в т.ч. зарплата</t>
  </si>
  <si>
    <t>на единицу</t>
  </si>
  <si>
    <t>всего</t>
  </si>
  <si>
    <t>Итого по локальной смете</t>
  </si>
  <si>
    <t>Заказчик</t>
  </si>
  <si>
    <t>по промывке  и прочистке отпительных приборов</t>
  </si>
  <si>
    <t>"_____" __________________ 2007 г.</t>
  </si>
  <si>
    <t>Исполнитель сметы</t>
  </si>
  <si>
    <t>Подрядчик: ООО "Союз"</t>
  </si>
  <si>
    <t>Заказчик:МОУ средняя общеобразовательная школа с. Никольское на Черемшане</t>
  </si>
  <si>
    <t xml:space="preserve">Директор </t>
  </si>
  <si>
    <t>Быстров А. Б.</t>
  </si>
  <si>
    <t>63,615 тыс. руб.</t>
  </si>
  <si>
    <t>МОУ средняя общеобразовательная школа с. Никольское на Черемшане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</si>
</sst>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2"/>
      <name val="Arial"/>
      <family val="0"/>
    </font>
    <font>
      <b/>
      <sz val="10"/>
      <color indexed="16"/>
      <name val="Arial"/>
      <family val="0"/>
    </font>
    <font>
      <b/>
      <sz val="10"/>
      <color indexed="17"/>
      <name val="Arial"/>
      <family val="0"/>
    </font>
    <font>
      <sz val="10"/>
      <name val="Arial Cyr"/>
      <family val="0"/>
    </font>
    <font>
      <b/>
      <sz val="11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7" fillId="0" borderId="0" xfId="0" applyFont="1" applyAlignment="1">
      <alignment horizontal="right" vertical="top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7" fillId="0" borderId="4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7" fillId="0" borderId="5" xfId="0" applyFont="1" applyBorder="1" applyAlignment="1">
      <alignment vertical="top" wrapText="1"/>
    </xf>
    <xf numFmtId="0" fontId="7" fillId="0" borderId="5" xfId="0" applyFont="1" applyBorder="1" applyAlignment="1">
      <alignment horizontal="right"/>
    </xf>
    <xf numFmtId="0" fontId="7" fillId="0" borderId="6" xfId="0" applyFont="1" applyBorder="1" applyAlignment="1">
      <alignment vertical="top"/>
    </xf>
    <xf numFmtId="0" fontId="11" fillId="0" borderId="6" xfId="0" applyFont="1" applyBorder="1" applyAlignment="1">
      <alignment horizontal="right" vertical="top" wrapText="1"/>
    </xf>
    <xf numFmtId="0" fontId="7" fillId="0" borderId="6" xfId="0" applyFont="1" applyBorder="1" applyAlignment="1">
      <alignment horizontal="right" vertical="top"/>
    </xf>
    <xf numFmtId="0" fontId="7" fillId="0" borderId="7" xfId="0" applyFont="1" applyBorder="1" applyAlignment="1">
      <alignment vertical="top"/>
    </xf>
    <xf numFmtId="0" fontId="8" fillId="0" borderId="0" xfId="0" applyFont="1" applyAlignment="1">
      <alignment horizontal="left" vertical="top"/>
    </xf>
    <xf numFmtId="0" fontId="12" fillId="0" borderId="0" xfId="0" applyFont="1" applyAlignment="1">
      <alignment horizontal="right" vertical="top"/>
    </xf>
    <xf numFmtId="0" fontId="12" fillId="0" borderId="2" xfId="0" applyFont="1" applyBorder="1" applyAlignment="1">
      <alignment horizontal="right" vertical="top"/>
    </xf>
    <xf numFmtId="0" fontId="8" fillId="0" borderId="8" xfId="0" applyFont="1" applyBorder="1" applyAlignment="1">
      <alignment vertical="top"/>
    </xf>
    <xf numFmtId="0" fontId="7" fillId="0" borderId="8" xfId="0" applyFont="1" applyBorder="1" applyAlignment="1">
      <alignment vertical="top"/>
    </xf>
    <xf numFmtId="0" fontId="12" fillId="0" borderId="9" xfId="0" applyFont="1" applyBorder="1" applyAlignment="1">
      <alignment horizontal="right" vertical="top"/>
    </xf>
    <xf numFmtId="0" fontId="12" fillId="0" borderId="10" xfId="0" applyFont="1" applyBorder="1" applyAlignment="1">
      <alignment horizontal="right" vertical="top"/>
    </xf>
    <xf numFmtId="0" fontId="7" fillId="0" borderId="10" xfId="0" applyFont="1" applyBorder="1" applyAlignment="1">
      <alignment vertical="top"/>
    </xf>
    <xf numFmtId="0" fontId="7" fillId="0" borderId="9" xfId="0" applyFont="1" applyBorder="1" applyAlignment="1">
      <alignment vertical="top"/>
    </xf>
    <xf numFmtId="0" fontId="8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8" fillId="0" borderId="0" xfId="0" applyFont="1" applyAlignment="1">
      <alignment vertical="top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showGridLines="0" tabSelected="1" workbookViewId="0" topLeftCell="A1">
      <selection activeCell="D15" sqref="D15"/>
    </sheetView>
  </sheetViews>
  <sheetFormatPr defaultColWidth="9.140625" defaultRowHeight="12.75"/>
  <cols>
    <col min="1" max="1" width="6.28125" style="4" customWidth="1"/>
    <col min="2" max="2" width="12.7109375" style="4" customWidth="1"/>
    <col min="3" max="3" width="30.7109375" style="4" customWidth="1"/>
    <col min="4" max="4" width="11.7109375" style="4" customWidth="1"/>
    <col min="5" max="11" width="10.7109375" style="4" customWidth="1"/>
    <col min="12" max="16384" width="9.140625" style="4" customWidth="1"/>
  </cols>
  <sheetData>
    <row r="1" spans="7:10" ht="15">
      <c r="G1" s="5" t="s">
        <v>188</v>
      </c>
      <c r="H1" s="5"/>
      <c r="I1" s="5"/>
      <c r="J1" s="5"/>
    </row>
    <row r="2" spans="1:10" ht="15">
      <c r="A2" s="4" t="s">
        <v>216</v>
      </c>
      <c r="G2" s="5" t="s">
        <v>189</v>
      </c>
      <c r="H2" s="5"/>
      <c r="I2" s="5" t="s">
        <v>219</v>
      </c>
      <c r="J2" s="5"/>
    </row>
    <row r="3" spans="7:11" ht="15" customHeight="1">
      <c r="G3" s="27" t="s">
        <v>217</v>
      </c>
      <c r="H3" s="27"/>
      <c r="I3" s="27"/>
      <c r="J3" s="27"/>
      <c r="K3" s="28"/>
    </row>
    <row r="4" spans="1:11" ht="15" customHeight="1">
      <c r="A4" s="4" t="s">
        <v>215</v>
      </c>
      <c r="G4" s="29" t="s">
        <v>218</v>
      </c>
      <c r="H4" s="28"/>
      <c r="I4" s="28"/>
      <c r="J4" s="28"/>
      <c r="K4" s="28"/>
    </row>
    <row r="5" spans="1:11" ht="15">
      <c r="A5" s="5" t="s">
        <v>213</v>
      </c>
      <c r="B5" s="5"/>
      <c r="C5" s="5"/>
      <c r="G5" s="5" t="s">
        <v>213</v>
      </c>
      <c r="H5" s="5"/>
      <c r="I5" s="5"/>
      <c r="K5" s="5"/>
    </row>
    <row r="7" ht="12.75">
      <c r="A7" s="4" t="str">
        <f>CONCATENATE("Наименование объекта: ",Source!G12)</f>
        <v>Наименование объекта: МОУ средняя общеобразовательная школа с. Никольское на Черемшане</v>
      </c>
    </row>
    <row r="8" ht="6" customHeight="1"/>
    <row r="9" spans="1:11" ht="18">
      <c r="A9" s="31" t="s">
        <v>190</v>
      </c>
      <c r="B9" s="31"/>
      <c r="C9" s="31"/>
      <c r="D9" s="31"/>
      <c r="E9" s="31"/>
      <c r="F9" s="31"/>
      <c r="G9" s="31"/>
      <c r="H9" s="31"/>
      <c r="I9" s="31"/>
      <c r="J9" s="31"/>
      <c r="K9" s="31"/>
    </row>
    <row r="10" spans="1:11" ht="12.75" customHeight="1" hidden="1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11" ht="18">
      <c r="A11" s="33" t="str">
        <f>Source!G20</f>
        <v>по промывке  и прочистке отпительных приборов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</row>
    <row r="12" ht="6" customHeight="1"/>
    <row r="13" spans="1:11" ht="12.75">
      <c r="A13" s="34" t="s">
        <v>191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</row>
    <row r="15" spans="9:10" ht="12.75">
      <c r="I15" s="6" t="s">
        <v>192</v>
      </c>
      <c r="J15" s="4" t="s">
        <v>219</v>
      </c>
    </row>
    <row r="16" spans="9:10" ht="12.75">
      <c r="I16" s="6" t="s">
        <v>193</v>
      </c>
      <c r="J16" s="4" t="str">
        <f>CONCATENATE(ROUND(Source!F43,3)," чел.-ч.")</f>
        <v>454,45 чел.-ч.</v>
      </c>
    </row>
    <row r="17" spans="9:10" ht="12.75">
      <c r="I17" s="6" t="s">
        <v>194</v>
      </c>
      <c r="J17" s="4" t="str">
        <f>CONCATENATE(ROUND(Source!F54/1000,3)," тыс. руб.")</f>
        <v>20,979 тыс. руб.</v>
      </c>
    </row>
    <row r="19" spans="1:11" ht="12.75">
      <c r="A19" s="30" t="s">
        <v>195</v>
      </c>
      <c r="B19" s="30" t="s">
        <v>196</v>
      </c>
      <c r="C19" s="30" t="s">
        <v>197</v>
      </c>
      <c r="D19" s="30" t="s">
        <v>198</v>
      </c>
      <c r="E19" s="30" t="s">
        <v>199</v>
      </c>
      <c r="F19" s="30"/>
      <c r="G19" s="30" t="s">
        <v>200</v>
      </c>
      <c r="H19" s="30"/>
      <c r="I19" s="30"/>
      <c r="J19" s="30" t="s">
        <v>201</v>
      </c>
      <c r="K19" s="30"/>
    </row>
    <row r="20" spans="1:11" ht="12.75">
      <c r="A20" s="30"/>
      <c r="B20" s="30"/>
      <c r="C20" s="30"/>
      <c r="D20" s="30"/>
      <c r="E20" s="30" t="s">
        <v>202</v>
      </c>
      <c r="F20" s="30" t="s">
        <v>203</v>
      </c>
      <c r="G20" s="30" t="s">
        <v>202</v>
      </c>
      <c r="H20" s="30" t="s">
        <v>204</v>
      </c>
      <c r="I20" s="30" t="s">
        <v>203</v>
      </c>
      <c r="J20" s="30" t="s">
        <v>205</v>
      </c>
      <c r="K20" s="30"/>
    </row>
    <row r="21" spans="1:11" ht="12.75">
      <c r="A21" s="30"/>
      <c r="B21" s="30"/>
      <c r="C21" s="30"/>
      <c r="D21" s="30"/>
      <c r="E21" s="30"/>
      <c r="F21" s="30"/>
      <c r="G21" s="30"/>
      <c r="H21" s="30"/>
      <c r="I21" s="30"/>
      <c r="J21" s="30" t="s">
        <v>206</v>
      </c>
      <c r="K21" s="30"/>
    </row>
    <row r="22" spans="1:11" ht="12.75">
      <c r="A22" s="30"/>
      <c r="B22" s="30"/>
      <c r="C22" s="30"/>
      <c r="D22" s="30"/>
      <c r="E22" s="30" t="s">
        <v>204</v>
      </c>
      <c r="F22" s="30" t="s">
        <v>207</v>
      </c>
      <c r="G22" s="30"/>
      <c r="H22" s="30"/>
      <c r="I22" s="30" t="s">
        <v>207</v>
      </c>
      <c r="J22" s="30" t="s">
        <v>208</v>
      </c>
      <c r="K22" s="30" t="s">
        <v>209</v>
      </c>
    </row>
    <row r="23" spans="1:11" ht="12.7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</row>
    <row r="24" spans="1:11" ht="12.75">
      <c r="A24" s="7">
        <v>1</v>
      </c>
      <c r="B24" s="7">
        <v>2</v>
      </c>
      <c r="C24" s="7">
        <v>3</v>
      </c>
      <c r="D24" s="7">
        <v>4</v>
      </c>
      <c r="E24" s="7">
        <v>5</v>
      </c>
      <c r="F24" s="7">
        <v>6</v>
      </c>
      <c r="G24" s="7">
        <v>7</v>
      </c>
      <c r="H24" s="7">
        <v>8</v>
      </c>
      <c r="I24" s="7">
        <v>9</v>
      </c>
      <c r="J24" s="7">
        <v>10</v>
      </c>
      <c r="K24" s="7">
        <v>11</v>
      </c>
    </row>
    <row r="25" spans="1:11" ht="38.25">
      <c r="A25" s="11" t="str">
        <f>Source!E24</f>
        <v>1</v>
      </c>
      <c r="B25" s="12" t="str">
        <f>CONCATENATE(Source!F24,"   K=(ОЗП,ТЗ))*1,15")</f>
        <v>п07-10-011-1   K=(ОЗП,ТЗ))*1,15</v>
      </c>
      <c r="C25" s="12" t="str">
        <f>Source!G24</f>
        <v>Теплопотребляющая система здания с тепловой нагрузкой, Гкал/ч, до 0.2</v>
      </c>
      <c r="D25" s="13">
        <v>1</v>
      </c>
      <c r="E25" s="13">
        <f>IF(Source!AB24=0,"-",ROUND(Source!AB24,2))</f>
        <v>367.36</v>
      </c>
      <c r="F25" s="13" t="str">
        <f>IF(Source!AD24=0,"-",ROUND(Source!AD24,2))</f>
        <v>-</v>
      </c>
      <c r="G25" s="13">
        <f>IF(Source!O24=0,"-",ROUND(Source!O24,0))</f>
        <v>367</v>
      </c>
      <c r="H25" s="13">
        <f>IF(Source!S24=0,"-",ROUND(Source!S24,0))</f>
        <v>367</v>
      </c>
      <c r="I25" s="13" t="str">
        <f>IF(Source!Q24=0,"-",ROUND(Source!Q24,0))</f>
        <v>-</v>
      </c>
      <c r="J25" s="13">
        <f>IF(Source!AH24=0,"-",ROUND(Source!AH24,2))</f>
        <v>25.3</v>
      </c>
      <c r="K25" s="13">
        <f>IF(Source!U24=0,"-",ROUND(Source!U24,2))</f>
        <v>25.3</v>
      </c>
    </row>
    <row r="26" spans="1:11" ht="12.75">
      <c r="A26" s="14"/>
      <c r="B26" s="14"/>
      <c r="C26" s="15" t="str">
        <f>Source!H24</f>
        <v>1 система</v>
      </c>
      <c r="D26" s="16"/>
      <c r="E26" s="16">
        <f>IF(Source!AF24=0,"-",ROUND(Source!AF24,2))</f>
        <v>367.36</v>
      </c>
      <c r="F26" s="16" t="str">
        <f>IF(Source!AE24=0,"-",ROUND(Source!AE24,2))</f>
        <v>-</v>
      </c>
      <c r="G26" s="16"/>
      <c r="H26" s="16"/>
      <c r="I26" s="16" t="str">
        <f>IF(Source!R24=0,"-",ROUND(Source!R24,0))</f>
        <v>-</v>
      </c>
      <c r="J26" s="16" t="str">
        <f>IF(Source!AI24=0,"-",ROUND(Source!AI24,2))</f>
        <v>-</v>
      </c>
      <c r="K26" s="16" t="str">
        <f>IF(Source!V24=0,"-",ROUND(Source!V24,2))</f>
        <v>-</v>
      </c>
    </row>
    <row r="27" spans="1:11" ht="38.25">
      <c r="A27" s="11" t="str">
        <f>Source!E25</f>
        <v>2</v>
      </c>
      <c r="B27" s="12" t="str">
        <f>Source!F25</f>
        <v>65-23-1</v>
      </c>
      <c r="C27" s="12" t="str">
        <f>Source!G25</f>
        <v>Слив и наполнение водой системы отопления без осмотра системы</v>
      </c>
      <c r="D27" s="13">
        <f>ROUND(Source!I25,10)</f>
        <v>5</v>
      </c>
      <c r="E27" s="13">
        <f>IF(Source!AB25=0,"-",ROUND(Source!AB25,2))</f>
        <v>3.12</v>
      </c>
      <c r="F27" s="13" t="str">
        <f>IF(Source!AD25=0,"-",ROUND(Source!AD25,2))</f>
        <v>-</v>
      </c>
      <c r="G27" s="13">
        <f>IF(Source!O25=0,"-",ROUND(Source!O25,0))</f>
        <v>16</v>
      </c>
      <c r="H27" s="13">
        <f>IF(Source!S25=0,"-",ROUND(Source!S25,0))</f>
        <v>16</v>
      </c>
      <c r="I27" s="13" t="str">
        <f>IF(Source!Q25=0,"-",ROUND(Source!Q25,0))</f>
        <v>-</v>
      </c>
      <c r="J27" s="13">
        <f>IF(Source!AH25=0,"-",ROUND(Source!AH25,2))</f>
        <v>0.41</v>
      </c>
      <c r="K27" s="13">
        <f>IF(Source!U25=0,"-",ROUND(Source!U25,2))</f>
        <v>2.05</v>
      </c>
    </row>
    <row r="28" spans="1:11" ht="12.75">
      <c r="A28" s="14"/>
      <c r="B28" s="14"/>
      <c r="C28" s="15" t="str">
        <f>Source!H25</f>
        <v>1000 м3</v>
      </c>
      <c r="D28" s="16"/>
      <c r="E28" s="16">
        <f>IF(Source!AF25=0,"-",ROUND(Source!AF25,2))</f>
        <v>3.12</v>
      </c>
      <c r="F28" s="16" t="str">
        <f>IF(Source!AE25=0,"-",ROUND(Source!AE25,2))</f>
        <v>-</v>
      </c>
      <c r="G28" s="16"/>
      <c r="H28" s="16"/>
      <c r="I28" s="16" t="str">
        <f>IF(Source!R25=0,"-",ROUND(Source!R25,0))</f>
        <v>-</v>
      </c>
      <c r="J28" s="16" t="str">
        <f>IF(Source!AI25=0,"-",ROUND(Source!AI25,2))</f>
        <v>-</v>
      </c>
      <c r="K28" s="16" t="str">
        <f>IF(Source!V25=0,"-",ROUND(Source!V25,2))</f>
        <v>-</v>
      </c>
    </row>
    <row r="29" spans="1:11" ht="38.25">
      <c r="A29" s="11" t="str">
        <f>Source!E26</f>
        <v>3</v>
      </c>
      <c r="B29" s="12" t="str">
        <f>CONCATENATE(Source!F26,"   K=(ОЗП,ТЗ))*2")</f>
        <v>65-25-3   K=(ОЗП,ТЗ))*2</v>
      </c>
      <c r="C29" s="12" t="str">
        <f>Source!G26</f>
        <v>Смена кранов двойной регулировки</v>
      </c>
      <c r="D29" s="13">
        <f>ROUND(Source!I26,10)</f>
        <v>0.55</v>
      </c>
      <c r="E29" s="13">
        <f>IF(Source!AB26=0,"-",ROUND(Source!AB26,2))</f>
        <v>4812.09</v>
      </c>
      <c r="F29" s="13" t="str">
        <f>IF(Source!AD26=0,"-",ROUND(Source!AD26,2))</f>
        <v>-</v>
      </c>
      <c r="G29" s="13">
        <f>IF(Source!O26=0,"-",ROUND(Source!O26,0))</f>
        <v>2647</v>
      </c>
      <c r="H29" s="13">
        <f>IF(Source!S26=0,"-",ROUND(Source!S26,0))</f>
        <v>945</v>
      </c>
      <c r="I29" s="13" t="str">
        <f>IF(Source!Q26=0,"-",ROUND(Source!Q26,0))</f>
        <v>-</v>
      </c>
      <c r="J29" s="13">
        <f>IF(Source!AH26=0,"-",ROUND(Source!AH26,2))</f>
        <v>201.6</v>
      </c>
      <c r="K29" s="13">
        <f>IF(Source!U26=0,"-",ROUND(Source!U26,2))</f>
        <v>110.88</v>
      </c>
    </row>
    <row r="30" spans="1:11" ht="12.75">
      <c r="A30" s="14"/>
      <c r="B30" s="14"/>
      <c r="C30" s="15" t="str">
        <f>Source!H26</f>
        <v>100 шт.</v>
      </c>
      <c r="D30" s="16"/>
      <c r="E30" s="16">
        <f>IF(Source!AF26=0,"-",ROUND(Source!AF26,2))</f>
        <v>1717.64</v>
      </c>
      <c r="F30" s="16" t="str">
        <f>IF(Source!AE26=0,"-",ROUND(Source!AE26,2))</f>
        <v>-</v>
      </c>
      <c r="G30" s="16"/>
      <c r="H30" s="16"/>
      <c r="I30" s="16" t="str">
        <f>IF(Source!R26=0,"-",ROUND(Source!R26,0))</f>
        <v>-</v>
      </c>
      <c r="J30" s="16" t="str">
        <f>IF(Source!AI26=0,"-",ROUND(Source!AI26,2))</f>
        <v>-</v>
      </c>
      <c r="K30" s="16" t="str">
        <f>IF(Source!V26=0,"-",ROUND(Source!V26,2))</f>
        <v>-</v>
      </c>
    </row>
    <row r="31" spans="1:11" ht="38.25">
      <c r="A31" s="11" t="str">
        <f>Source!E27</f>
        <v>4</v>
      </c>
      <c r="B31" s="12" t="str">
        <f>Source!F27</f>
        <v>300-0470</v>
      </c>
      <c r="C31" s="12" t="str">
        <f>Source!G27</f>
        <v>Краны регулирующие двойной регулировки пробковые КРДП латунные, диаметром 20 мм</v>
      </c>
      <c r="D31" s="13">
        <f>ROUND(Source!I27,10)</f>
        <v>-30</v>
      </c>
      <c r="E31" s="13">
        <f>IF(Source!AB27=0,"-",ROUND(Source!AB27,2))</f>
        <v>29.23</v>
      </c>
      <c r="F31" s="13" t="str">
        <f>IF(Source!AD27=0,"-",ROUND(Source!AD27,2))</f>
        <v>-</v>
      </c>
      <c r="G31" s="13">
        <f>IF(Source!O27=0,"-",ROUND(Source!O27,0))</f>
        <v>-877</v>
      </c>
      <c r="H31" s="13" t="str">
        <f>IF(Source!S27=0,"-",ROUND(Source!S27,0))</f>
        <v>-</v>
      </c>
      <c r="I31" s="13" t="str">
        <f>IF(Source!Q27=0,"-",ROUND(Source!Q27,0))</f>
        <v>-</v>
      </c>
      <c r="J31" s="13" t="str">
        <f>IF(Source!AH27=0,"-",ROUND(Source!AH27,2))</f>
        <v>-</v>
      </c>
      <c r="K31" s="13" t="str">
        <f>IF(Source!U27=0,"-",ROUND(Source!U27,2))</f>
        <v>-</v>
      </c>
    </row>
    <row r="32" spans="1:11" ht="12.75">
      <c r="A32" s="14"/>
      <c r="B32" s="14"/>
      <c r="C32" s="15" t="str">
        <f>Source!H27</f>
        <v>шт.</v>
      </c>
      <c r="D32" s="16"/>
      <c r="E32" s="16" t="str">
        <f>IF(Source!AF27=0,"-",ROUND(Source!AF27,2))</f>
        <v>-</v>
      </c>
      <c r="F32" s="16" t="str">
        <f>IF(Source!AE27=0,"-",ROUND(Source!AE27,2))</f>
        <v>-</v>
      </c>
      <c r="G32" s="16"/>
      <c r="H32" s="16"/>
      <c r="I32" s="16" t="str">
        <f>IF(Source!R27=0,"-",ROUND(Source!R27,0))</f>
        <v>-</v>
      </c>
      <c r="J32" s="16" t="str">
        <f>IF(Source!AI27=0,"-",ROUND(Source!AI27,2))</f>
        <v>-</v>
      </c>
      <c r="K32" s="16" t="str">
        <f>IF(Source!V27=0,"-",ROUND(Source!V27,2))</f>
        <v>-</v>
      </c>
    </row>
    <row r="33" spans="1:11" ht="38.25">
      <c r="A33" s="11" t="str">
        <f>Source!E28</f>
        <v>5</v>
      </c>
      <c r="B33" s="12" t="str">
        <f>CONCATENATE(Source!F28,"   K=(ОЗП,ТЗ))*2")</f>
        <v>65-6-10   K=(ОЗП,ТЗ))*2</v>
      </c>
      <c r="C33" s="12" t="str">
        <f>Source!G28</f>
        <v>Смена санитарных приборов гибких подводок</v>
      </c>
      <c r="D33" s="13">
        <f>ROUND(Source!I28,10)</f>
        <v>0.61</v>
      </c>
      <c r="E33" s="13">
        <f>IF(Source!AB28=0,"-",ROUND(Source!AB28,2))</f>
        <v>1876.24</v>
      </c>
      <c r="F33" s="13">
        <f>IF(Source!AD28=0,"-",ROUND(Source!AD28,2))</f>
        <v>3.7</v>
      </c>
      <c r="G33" s="13">
        <f>IF(Source!O28=0,"-",ROUND(Source!O28,0))</f>
        <v>1145</v>
      </c>
      <c r="H33" s="13">
        <f>IF(Source!S28=0,"-",ROUND(Source!S28,0))</f>
        <v>580</v>
      </c>
      <c r="I33" s="13">
        <f>IF(Source!Q28=0,"-",ROUND(Source!Q28,0))</f>
        <v>2</v>
      </c>
      <c r="J33" s="13">
        <f>IF(Source!AH28=0,"-",ROUND(Source!AH28,2))</f>
        <v>104.8</v>
      </c>
      <c r="K33" s="13">
        <f>IF(Source!U28=0,"-",ROUND(Source!U28,2))</f>
        <v>63.93</v>
      </c>
    </row>
    <row r="34" spans="1:11" ht="12.75">
      <c r="A34" s="14"/>
      <c r="B34" s="14"/>
      <c r="C34" s="15" t="str">
        <f>Source!H28</f>
        <v>100 шт.</v>
      </c>
      <c r="D34" s="16"/>
      <c r="E34" s="16">
        <f>IF(Source!AF28=0,"-",ROUND(Source!AF28,2))</f>
        <v>950.54</v>
      </c>
      <c r="F34" s="16">
        <f>IF(Source!AE28=0,"-",ROUND(Source!AE28,2))</f>
        <v>0.89</v>
      </c>
      <c r="G34" s="16"/>
      <c r="H34" s="16"/>
      <c r="I34" s="16">
        <f>IF(Source!R28=0,"-",ROUND(Source!R28,0))</f>
        <v>1</v>
      </c>
      <c r="J34" s="16">
        <f>IF(Source!AI28=0,"-",ROUND(Source!AI28,2))</f>
        <v>0.1</v>
      </c>
      <c r="K34" s="16">
        <f>IF(Source!V28=0,"-",ROUND(Source!V28,2))</f>
        <v>0.06</v>
      </c>
    </row>
    <row r="35" spans="1:11" ht="25.5">
      <c r="A35" s="11" t="str">
        <f>Source!E29</f>
        <v>6</v>
      </c>
      <c r="B35" s="12" t="str">
        <f>Source!F29</f>
        <v>300-1520</v>
      </c>
      <c r="C35" s="12" t="str">
        <f>Source!G29</f>
        <v>Подводка гибкая армированная резиновая 500 мм</v>
      </c>
      <c r="D35" s="13">
        <f>ROUND(Source!I29,10)</f>
        <v>-30</v>
      </c>
      <c r="E35" s="13">
        <f>IF(Source!AB29=0,"-",ROUND(Source!AB29,2))</f>
        <v>9.22</v>
      </c>
      <c r="F35" s="13" t="str">
        <f>IF(Source!AD29=0,"-",ROUND(Source!AD29,2))</f>
        <v>-</v>
      </c>
      <c r="G35" s="13">
        <f>IF(Source!O29=0,"-",ROUND(Source!O29,0))</f>
        <v>-277</v>
      </c>
      <c r="H35" s="13" t="str">
        <f>IF(Source!S29=0,"-",ROUND(Source!S29,0))</f>
        <v>-</v>
      </c>
      <c r="I35" s="13" t="str">
        <f>IF(Source!Q29=0,"-",ROUND(Source!Q29,0))</f>
        <v>-</v>
      </c>
      <c r="J35" s="13" t="str">
        <f>IF(Source!AH29=0,"-",ROUND(Source!AH29,2))</f>
        <v>-</v>
      </c>
      <c r="K35" s="13" t="str">
        <f>IF(Source!U29=0,"-",ROUND(Source!U29,2))</f>
        <v>-</v>
      </c>
    </row>
    <row r="36" spans="1:11" ht="12.75">
      <c r="A36" s="14"/>
      <c r="B36" s="14"/>
      <c r="C36" s="15" t="str">
        <f>Source!H29</f>
        <v>шт.</v>
      </c>
      <c r="D36" s="16"/>
      <c r="E36" s="16" t="str">
        <f>IF(Source!AF29=0,"-",ROUND(Source!AF29,2))</f>
        <v>-</v>
      </c>
      <c r="F36" s="16" t="str">
        <f>IF(Source!AE29=0,"-",ROUND(Source!AE29,2))</f>
        <v>-</v>
      </c>
      <c r="G36" s="16"/>
      <c r="H36" s="16"/>
      <c r="I36" s="16" t="str">
        <f>IF(Source!R29=0,"-",ROUND(Source!R29,0))</f>
        <v>-</v>
      </c>
      <c r="J36" s="16" t="str">
        <f>IF(Source!AI29=0,"-",ROUND(Source!AI29,2))</f>
        <v>-</v>
      </c>
      <c r="K36" s="16" t="str">
        <f>IF(Source!V29=0,"-",ROUND(Source!V29,2))</f>
        <v>-</v>
      </c>
    </row>
    <row r="37" spans="1:11" ht="25.5">
      <c r="A37" s="11" t="str">
        <f>Source!E30</f>
        <v>7</v>
      </c>
      <c r="B37" s="12" t="str">
        <f>Source!F30</f>
        <v>300-9353-005-73</v>
      </c>
      <c r="C37" s="12" t="str">
        <f>Source!G30</f>
        <v>Пробки радиаторные:  d50</v>
      </c>
      <c r="D37" s="13">
        <f>ROUND(Source!I30,10)</f>
        <v>10</v>
      </c>
      <c r="E37" s="13">
        <f>IF(Source!AB30=0,"-",ROUND(Source!AB30,2))</f>
        <v>12.17</v>
      </c>
      <c r="F37" s="13" t="str">
        <f>IF(Source!AD30=0,"-",ROUND(Source!AD30,2))</f>
        <v>-</v>
      </c>
      <c r="G37" s="13">
        <f>IF(Source!O30=0,"-",ROUND(Source!O30,0))</f>
        <v>122</v>
      </c>
      <c r="H37" s="13" t="str">
        <f>IF(Source!S30=0,"-",ROUND(Source!S30,0))</f>
        <v>-</v>
      </c>
      <c r="I37" s="13" t="str">
        <f>IF(Source!Q30=0,"-",ROUND(Source!Q30,0))</f>
        <v>-</v>
      </c>
      <c r="J37" s="13" t="str">
        <f>IF(Source!AH30=0,"-",ROUND(Source!AH30,2))</f>
        <v>-</v>
      </c>
      <c r="K37" s="13" t="str">
        <f>IF(Source!U30=0,"-",ROUND(Source!U30,2))</f>
        <v>-</v>
      </c>
    </row>
    <row r="38" spans="1:11" ht="12.75">
      <c r="A38" s="14"/>
      <c r="B38" s="14"/>
      <c r="C38" s="15" t="str">
        <f>Source!H30</f>
        <v>шт.</v>
      </c>
      <c r="D38" s="16"/>
      <c r="E38" s="16" t="str">
        <f>IF(Source!AF30=0,"-",ROUND(Source!AF30,2))</f>
        <v>-</v>
      </c>
      <c r="F38" s="16" t="str">
        <f>IF(Source!AE30=0,"-",ROUND(Source!AE30,2))</f>
        <v>-</v>
      </c>
      <c r="G38" s="16"/>
      <c r="H38" s="16"/>
      <c r="I38" s="16" t="str">
        <f>IF(Source!R30=0,"-",ROUND(Source!R30,0))</f>
        <v>-</v>
      </c>
      <c r="J38" s="16" t="str">
        <f>IF(Source!AI30=0,"-",ROUND(Source!AI30,2))</f>
        <v>-</v>
      </c>
      <c r="K38" s="16" t="str">
        <f>IF(Source!V30=0,"-",ROUND(Source!V30,2))</f>
        <v>-</v>
      </c>
    </row>
    <row r="39" spans="1:11" ht="51">
      <c r="A39" s="11" t="str">
        <f>Source!E31</f>
        <v>8</v>
      </c>
      <c r="B39" s="12" t="str">
        <f>Source!F31</f>
        <v>65-22-1</v>
      </c>
      <c r="C39" s="12" t="str">
        <f>Source!G31</f>
        <v>Прочистка и промывка отопительных приборов радиаторов весом до 80 кг внутри здания</v>
      </c>
      <c r="D39" s="13">
        <f>ROUND(Source!I31,10)</f>
        <v>0.84</v>
      </c>
      <c r="E39" s="13">
        <f>IF(Source!AB31=0,"-",ROUND(Source!AB31,2))</f>
        <v>2989.62</v>
      </c>
      <c r="F39" s="13" t="str">
        <f>IF(Source!AD31=0,"-",ROUND(Source!AD31,2))</f>
        <v>-</v>
      </c>
      <c r="G39" s="13">
        <f>IF(Source!O31=0,"-",ROUND(Source!O31,0))</f>
        <v>2511</v>
      </c>
      <c r="H39" s="13">
        <f>IF(Source!S31=0,"-",ROUND(Source!S31,0))</f>
        <v>2111</v>
      </c>
      <c r="I39" s="13" t="str">
        <f>IF(Source!Q31=0,"-",ROUND(Source!Q31,0))</f>
        <v>-</v>
      </c>
      <c r="J39" s="13">
        <f>IF(Source!AH31=0,"-",ROUND(Source!AH31,2))</f>
        <v>291.6</v>
      </c>
      <c r="K39" s="13">
        <f>IF(Source!U31=0,"-",ROUND(Source!U31,2))</f>
        <v>244.94</v>
      </c>
    </row>
    <row r="40" spans="1:11" ht="12.75">
      <c r="A40" s="14"/>
      <c r="B40" s="14"/>
      <c r="C40" s="15" t="str">
        <f>Source!H31</f>
        <v>100 шт.</v>
      </c>
      <c r="D40" s="16"/>
      <c r="E40" s="16">
        <f>IF(Source!AF31=0,"-",ROUND(Source!AF31,2))</f>
        <v>2513.59</v>
      </c>
      <c r="F40" s="16" t="str">
        <f>IF(Source!AE31=0,"-",ROUND(Source!AE31,2))</f>
        <v>-</v>
      </c>
      <c r="G40" s="16"/>
      <c r="H40" s="16"/>
      <c r="I40" s="16" t="str">
        <f>IF(Source!R31=0,"-",ROUND(Source!R31,0))</f>
        <v>-</v>
      </c>
      <c r="J40" s="16" t="str">
        <f>IF(Source!AI31=0,"-",ROUND(Source!AI31,2))</f>
        <v>-</v>
      </c>
      <c r="K40" s="16" t="str">
        <f>IF(Source!V31=0,"-",ROUND(Source!V31,2))</f>
        <v>-</v>
      </c>
    </row>
    <row r="41" spans="1:11" ht="38.25">
      <c r="A41" s="11" t="str">
        <f>Source!E32</f>
        <v>9</v>
      </c>
      <c r="B41" s="12" t="str">
        <f>Source!F32</f>
        <v>65-23-4</v>
      </c>
      <c r="C41" s="12" t="str">
        <f>Source!G32</f>
        <v>Осмотр отремонтированных приборов отопления при наполнении системы водой</v>
      </c>
      <c r="D41" s="13">
        <f>ROUND(Source!I32,10)</f>
        <v>0.31</v>
      </c>
      <c r="E41" s="13">
        <f>IF(Source!AB32=0,"-",ROUND(Source!AB32,2))</f>
        <v>201.92</v>
      </c>
      <c r="F41" s="13" t="str">
        <f>IF(Source!AD32=0,"-",ROUND(Source!AD32,2))</f>
        <v>-</v>
      </c>
      <c r="G41" s="13">
        <f>IF(Source!O32=0,"-",ROUND(Source!O32,0))</f>
        <v>63</v>
      </c>
      <c r="H41" s="13">
        <f>IF(Source!S32=0,"-",ROUND(Source!S32,0))</f>
        <v>63</v>
      </c>
      <c r="I41" s="13" t="str">
        <f>IF(Source!Q32=0,"-",ROUND(Source!Q32,0))</f>
        <v>-</v>
      </c>
      <c r="J41" s="13">
        <f>IF(Source!AH32=0,"-",ROUND(Source!AH32,2))</f>
        <v>23.7</v>
      </c>
      <c r="K41" s="13">
        <f>IF(Source!U32=0,"-",ROUND(Source!U32,2))</f>
        <v>7.35</v>
      </c>
    </row>
    <row r="42" spans="1:11" ht="12.75">
      <c r="A42" s="14"/>
      <c r="B42" s="14"/>
      <c r="C42" s="15" t="str">
        <f>Source!H32</f>
        <v>100 шт.</v>
      </c>
      <c r="D42" s="16"/>
      <c r="E42" s="16">
        <f>IF(Source!AF32=0,"-",ROUND(Source!AF32,2))</f>
        <v>201.92</v>
      </c>
      <c r="F42" s="16" t="str">
        <f>IF(Source!AE32=0,"-",ROUND(Source!AE32,2))</f>
        <v>-</v>
      </c>
      <c r="G42" s="16"/>
      <c r="H42" s="16"/>
      <c r="I42" s="16" t="str">
        <f>IF(Source!R32=0,"-",ROUND(Source!R32,0))</f>
        <v>-</v>
      </c>
      <c r="J42" s="16" t="str">
        <f>IF(Source!AI32=0,"-",ROUND(Source!AI32,2))</f>
        <v>-</v>
      </c>
      <c r="K42" s="16" t="str">
        <f>IF(Source!V32=0,"-",ROUND(Source!V32,2))</f>
        <v>-</v>
      </c>
    </row>
    <row r="43" spans="1:11" ht="12.75">
      <c r="A43" s="11" t="str">
        <f>Source!E33</f>
        <v>10</v>
      </c>
      <c r="B43" s="12" t="str">
        <f>Source!F33</f>
        <v>Накладная</v>
      </c>
      <c r="C43" s="12" t="str">
        <f>Source!G33</f>
        <v>"Экосан"</v>
      </c>
      <c r="D43" s="13">
        <f>ROUND(Source!I33,10)</f>
        <v>100</v>
      </c>
      <c r="E43" s="13">
        <f>IF(Source!AB33=0,"-",ROUND(Source!AB33,2))</f>
        <v>15.27</v>
      </c>
      <c r="F43" s="13" t="str">
        <f>IF(Source!AD33=0,"-",ROUND(Source!AD33,2))</f>
        <v>-</v>
      </c>
      <c r="G43" s="13">
        <f>IF(Source!O33=0,"-",ROUND(Source!O33,0))</f>
        <v>1527</v>
      </c>
      <c r="H43" s="13" t="str">
        <f>IF(Source!S33=0,"-",ROUND(Source!S33,0))</f>
        <v>-</v>
      </c>
      <c r="I43" s="13" t="str">
        <f>IF(Source!Q33=0,"-",ROUND(Source!Q33,0))</f>
        <v>-</v>
      </c>
      <c r="J43" s="13" t="str">
        <f>IF(Source!AH33=0,"-",ROUND(Source!AH33,2))</f>
        <v>-</v>
      </c>
      <c r="K43" s="13" t="str">
        <f>IF(Source!U33=0,"-",ROUND(Source!U33,2))</f>
        <v>-</v>
      </c>
    </row>
    <row r="44" spans="1:11" ht="12.75">
      <c r="A44" s="14"/>
      <c r="B44" s="14"/>
      <c r="C44" s="15" t="str">
        <f>Source!H33</f>
        <v>л</v>
      </c>
      <c r="D44" s="16"/>
      <c r="E44" s="16" t="str">
        <f>IF(Source!AF33=0,"-",ROUND(Source!AF33,2))</f>
        <v>-</v>
      </c>
      <c r="F44" s="16" t="str">
        <f>IF(Source!AE33=0,"-",ROUND(Source!AE33,2))</f>
        <v>-</v>
      </c>
      <c r="G44" s="16"/>
      <c r="H44" s="16"/>
      <c r="I44" s="16" t="str">
        <f>IF(Source!R33=0,"-",ROUND(Source!R33,0))</f>
        <v>-</v>
      </c>
      <c r="J44" s="16" t="str">
        <f>IF(Source!AI33=0,"-",ROUND(Source!AI33,2))</f>
        <v>-</v>
      </c>
      <c r="K44" s="16" t="str">
        <f>IF(Source!V33=0,"-",ROUND(Source!V33,2))</f>
        <v>-</v>
      </c>
    </row>
    <row r="45" spans="1:11" ht="12.75">
      <c r="A45" s="9"/>
      <c r="K45" s="17"/>
    </row>
    <row r="46" spans="1:11" ht="15">
      <c r="A46" s="21"/>
      <c r="B46" s="18" t="s">
        <v>210</v>
      </c>
      <c r="C46" s="19"/>
      <c r="D46" s="19"/>
      <c r="E46" s="19"/>
      <c r="F46" s="19"/>
      <c r="G46" s="19">
        <f>IF(Source!O35=0,"-",ROUND(Source!O35,0))</f>
        <v>7243</v>
      </c>
      <c r="H46" s="19">
        <f>IF(Source!S35=0,"-",ROUND(Source!S35,0))</f>
        <v>4082</v>
      </c>
      <c r="I46" s="20">
        <f>IF(Source!Q35=0,"-",ROUND(Source!Q35,0))</f>
        <v>2</v>
      </c>
      <c r="J46" s="19"/>
      <c r="K46" s="23">
        <f>IF(Source!U35=0,"-",ROUND(Source!U35,2))</f>
        <v>454.45</v>
      </c>
    </row>
    <row r="47" spans="1:11" ht="15">
      <c r="A47" s="21"/>
      <c r="B47" s="5"/>
      <c r="C47" s="19"/>
      <c r="D47" s="19"/>
      <c r="E47" s="19"/>
      <c r="F47" s="19"/>
      <c r="G47" s="19"/>
      <c r="H47" s="19"/>
      <c r="I47" s="19">
        <f>IF(Source!R35=0,"-",ROUND(Source!R35,0))</f>
        <v>1</v>
      </c>
      <c r="J47" s="19"/>
      <c r="K47" s="24">
        <f>IF(Source!V35=0,"-",ROUND(Source!V35,2))</f>
        <v>0.06</v>
      </c>
    </row>
    <row r="48" spans="1:11" ht="12.75">
      <c r="A48" s="22"/>
      <c r="K48" s="25"/>
    </row>
    <row r="49" spans="1:11" ht="12.75">
      <c r="A49" s="22"/>
      <c r="B49" s="4" t="str">
        <f>Source!H48</f>
        <v>Индекс к эксплуатации машин и механизмов</v>
      </c>
      <c r="F49" s="4">
        <f>ROUND(Source!F48,2)</f>
        <v>2.98</v>
      </c>
      <c r="K49" s="25"/>
    </row>
    <row r="50" spans="1:11" ht="12.75">
      <c r="A50" s="22"/>
      <c r="B50" s="4" t="str">
        <f>Source!H49</f>
        <v>Индекс к материалам</v>
      </c>
      <c r="F50" s="4">
        <f>ROUND(Source!F49,2)</f>
        <v>3.69</v>
      </c>
      <c r="K50" s="25"/>
    </row>
    <row r="51" spans="1:11" ht="12.75">
      <c r="A51" s="22"/>
      <c r="B51" s="4" t="str">
        <f>Source!H50</f>
        <v>Индекс к основной заработной плате</v>
      </c>
      <c r="F51" s="4">
        <f>ROUND(Source!F50,2)</f>
        <v>5.14</v>
      </c>
      <c r="K51" s="25"/>
    </row>
    <row r="52" spans="1:11" ht="12.75">
      <c r="A52" s="22"/>
      <c r="B52" s="4" t="str">
        <f>Source!H51</f>
        <v>Эксплуатация машин с учетом индекса, руб.</v>
      </c>
      <c r="F52" s="4">
        <f>ROUND(Source!F51,2)</f>
        <v>6.73</v>
      </c>
      <c r="K52" s="25"/>
    </row>
    <row r="53" spans="1:11" ht="12.75">
      <c r="A53" s="22"/>
      <c r="B53" s="4" t="str">
        <f>Source!H52</f>
        <v>Стоимость материалов с учетом индекса, руб.</v>
      </c>
      <c r="F53" s="4">
        <f>ROUND(Source!F52,2)</f>
        <v>11658.33</v>
      </c>
      <c r="K53" s="25"/>
    </row>
    <row r="54" spans="1:11" ht="12.75">
      <c r="A54" s="22"/>
      <c r="B54" s="4" t="str">
        <f>Source!H53</f>
        <v>Зарплата машинистов с учетом индекса, руб.</v>
      </c>
      <c r="F54" s="4">
        <f>ROUND(Source!F53,2)</f>
        <v>2.78</v>
      </c>
      <c r="K54" s="25"/>
    </row>
    <row r="55" spans="1:11" ht="12.75">
      <c r="A55" s="22"/>
      <c r="B55" s="4" t="str">
        <f>Source!H54</f>
        <v>Основная зарплата рабочих с учетом индекса, руб.</v>
      </c>
      <c r="F55" s="4">
        <f>ROUND(Source!F54,2)</f>
        <v>20978.96</v>
      </c>
      <c r="K55" s="25"/>
    </row>
    <row r="56" spans="1:11" ht="12.75">
      <c r="A56" s="22"/>
      <c r="B56" s="4" t="str">
        <f>Source!H55</f>
        <v>Прямые затраты с учетом индекса, руб.</v>
      </c>
      <c r="F56" s="4">
        <f>ROUND(Source!F55,2)</f>
        <v>32644.02</v>
      </c>
      <c r="K56" s="25"/>
    </row>
    <row r="57" spans="1:11" ht="12.75">
      <c r="A57" s="22"/>
      <c r="B57" s="4" t="str">
        <f>Source!H56</f>
        <v>Коэффициент к накладным расходам</v>
      </c>
      <c r="F57" s="4">
        <f>ROUND(Source!F56,2)</f>
        <v>0.94</v>
      </c>
      <c r="K57" s="25"/>
    </row>
    <row r="58" spans="1:11" ht="12.75">
      <c r="A58" s="22"/>
      <c r="B58" s="4" t="str">
        <f>Source!H57</f>
        <v>Накладные расходы с учетом индекса, руб.</v>
      </c>
      <c r="F58" s="4">
        <f>ROUND(Source!F57,2)</f>
        <v>19640.02</v>
      </c>
      <c r="K58" s="25"/>
    </row>
    <row r="59" spans="1:11" ht="12.75">
      <c r="A59" s="22"/>
      <c r="B59" s="4" t="str">
        <f>Source!H58</f>
        <v>Сметная прибыль с учетом индекса, руб.</v>
      </c>
      <c r="F59" s="4">
        <f>ROUND(Source!F58,2)</f>
        <v>11330.61</v>
      </c>
      <c r="K59" s="25"/>
    </row>
    <row r="60" spans="1:11" ht="12.75">
      <c r="A60" s="22"/>
      <c r="B60" s="4" t="str">
        <f>Source!H59</f>
        <v>ИТОГО ПО СМЕТЕ, руб.</v>
      </c>
      <c r="F60" s="4">
        <f>ROUND(Source!F59,2)</f>
        <v>63614.65</v>
      </c>
      <c r="K60" s="25"/>
    </row>
    <row r="61" spans="1:11" ht="12.75">
      <c r="A61" s="22"/>
      <c r="K61" s="25"/>
    </row>
    <row r="62" spans="1:11" ht="12.75">
      <c r="A62" s="22"/>
      <c r="K62" s="25"/>
    </row>
    <row r="63" spans="1:11" ht="12.75">
      <c r="A63" s="22"/>
      <c r="B63" s="6" t="s">
        <v>214</v>
      </c>
      <c r="C63" s="8"/>
      <c r="D63" s="4">
        <f>IF(Source!R20&lt;&gt;"",Source!R20,Source!R12)</f>
      </c>
      <c r="F63" s="4">
        <f>IF(Source!AO20&lt;&gt;"",CONCATENATE(" /",Source!AO20,"/"),IF(Source!AO12&lt;&gt;"",CONCATENATE(" /",Source!AO12,"/"),""))</f>
      </c>
      <c r="K63" s="25"/>
    </row>
    <row r="64" spans="1:11" ht="12.75">
      <c r="A64" s="22"/>
      <c r="K64" s="25"/>
    </row>
    <row r="65" spans="1:11" ht="12.75">
      <c r="A65" s="22"/>
      <c r="B65" s="6" t="s">
        <v>211</v>
      </c>
      <c r="C65" s="8"/>
      <c r="D65" s="4" t="str">
        <f>CONCATENATE(IF(Source!CG12&lt;&gt;"",CONCATENATE(Source!CG12,"  "),""),Source!L12,IF(Source!AR12&lt;&gt;"",CONCATENATE(" /",Source!AR12,"/"),"")," ")</f>
        <v> </v>
      </c>
      <c r="K65" s="25"/>
    </row>
    <row r="66" spans="1:11" ht="12.75">
      <c r="A66" s="10"/>
      <c r="B66" s="8"/>
      <c r="C66" s="8"/>
      <c r="D66" s="8"/>
      <c r="E66" s="8"/>
      <c r="F66" s="8"/>
      <c r="G66" s="8"/>
      <c r="H66" s="8"/>
      <c r="I66" s="8"/>
      <c r="J66" s="8"/>
      <c r="K66" s="26"/>
    </row>
  </sheetData>
  <mergeCells count="25">
    <mergeCell ref="C19:C23"/>
    <mergeCell ref="D19:D23"/>
    <mergeCell ref="E19:F19"/>
    <mergeCell ref="G19:I19"/>
    <mergeCell ref="H20:H23"/>
    <mergeCell ref="E20:E21"/>
    <mergeCell ref="I20:I21"/>
    <mergeCell ref="J21:K21"/>
    <mergeCell ref="E22:E23"/>
    <mergeCell ref="F22:F23"/>
    <mergeCell ref="I22:I23"/>
    <mergeCell ref="J22:J23"/>
    <mergeCell ref="K22:K23"/>
    <mergeCell ref="F20:F21"/>
    <mergeCell ref="G20:G23"/>
    <mergeCell ref="G3:K3"/>
    <mergeCell ref="G4:K4"/>
    <mergeCell ref="J19:K19"/>
    <mergeCell ref="J20:K20"/>
    <mergeCell ref="A9:K9"/>
    <mergeCell ref="A10:K10"/>
    <mergeCell ref="A11:K11"/>
    <mergeCell ref="A13:K13"/>
    <mergeCell ref="A19:A23"/>
    <mergeCell ref="B19:B23"/>
  </mergeCells>
  <printOptions/>
  <pageMargins left="0.4" right="0.4" top="0.4694444444444444" bottom="0.4" header="0.20833333333333334" footer="0.2777777777777778"/>
  <pageSetup horizontalDpi="600" verticalDpi="600" orientation="landscape" paperSize="9" r:id="rId1"/>
  <headerFooter alignWithMargins="0">
    <oddHeader>&amp;L&amp;"Arial Cyr"&amp;7&amp;UПрограммные комплексы "Ресурсная смета", "Смета 2000", "BabyСмета", "Smeta.ru" (095) 974-15-89, (8432) 910-905&amp;R&amp;"Arial Cyr,обычный"&amp;7&amp;UСтраница &amp;P из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X89"/>
  <sheetViews>
    <sheetView workbookViewId="0" topLeftCell="E10">
      <selection activeCell="G12" sqref="G12"/>
    </sheetView>
  </sheetViews>
  <sheetFormatPr defaultColWidth="9.140625" defaultRowHeight="12.75"/>
  <sheetData>
    <row r="1" spans="1:12" ht="12.75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K1">
        <v>1</v>
      </c>
      <c r="L1">
        <v>24958</v>
      </c>
    </row>
    <row r="12" spans="1:103" ht="12.75">
      <c r="A12" s="1">
        <v>1</v>
      </c>
      <c r="B12" s="1">
        <v>1</v>
      </c>
      <c r="C12" s="1">
        <v>0</v>
      </c>
      <c r="D12" s="1">
        <f>ROW(A73)</f>
        <v>73</v>
      </c>
      <c r="E12" s="1">
        <v>0</v>
      </c>
      <c r="F12" s="1" t="s">
        <v>4</v>
      </c>
      <c r="G12" s="1" t="s">
        <v>220</v>
      </c>
      <c r="H12" s="1" t="s">
        <v>3</v>
      </c>
      <c r="I12" s="1">
        <v>0</v>
      </c>
      <c r="J12" s="1" t="s">
        <v>3</v>
      </c>
      <c r="K12" s="1" t="s">
        <v>3</v>
      </c>
      <c r="L12" s="1" t="s">
        <v>3</v>
      </c>
      <c r="M12" s="1" t="s">
        <v>3</v>
      </c>
      <c r="N12" s="1" t="s">
        <v>3</v>
      </c>
      <c r="O12" s="1" t="s">
        <v>3</v>
      </c>
      <c r="P12" s="1">
        <v>0</v>
      </c>
      <c r="Q12" s="1">
        <v>0</v>
      </c>
      <c r="R12" s="1" t="s">
        <v>3</v>
      </c>
      <c r="S12" s="1" t="s">
        <v>3</v>
      </c>
      <c r="T12" s="1" t="s">
        <v>3</v>
      </c>
      <c r="U12" s="1" t="s">
        <v>3</v>
      </c>
      <c r="V12" s="1">
        <v>-3</v>
      </c>
      <c r="W12" s="1" t="s">
        <v>3</v>
      </c>
      <c r="X12" s="1">
        <v>0</v>
      </c>
      <c r="Y12" s="1">
        <v>2</v>
      </c>
      <c r="Z12" s="1">
        <v>1</v>
      </c>
      <c r="AA12" s="1">
        <v>1</v>
      </c>
      <c r="AB12" s="1"/>
      <c r="AC12" s="1">
        <v>0</v>
      </c>
      <c r="AD12" s="1">
        <v>2</v>
      </c>
      <c r="AE12" s="1">
        <v>0</v>
      </c>
      <c r="AF12" s="1">
        <v>0</v>
      </c>
      <c r="AG12" s="1">
        <v>0</v>
      </c>
      <c r="AH12" s="1">
        <v>2</v>
      </c>
      <c r="AI12" s="1">
        <v>0</v>
      </c>
      <c r="AJ12" s="1">
        <v>0</v>
      </c>
      <c r="AK12" s="1">
        <v>0</v>
      </c>
      <c r="AL12" s="1" t="s">
        <v>3</v>
      </c>
      <c r="AM12" s="1" t="s">
        <v>3</v>
      </c>
      <c r="AN12" s="1">
        <v>0</v>
      </c>
      <c r="AO12" s="1" t="s">
        <v>3</v>
      </c>
      <c r="AP12" s="1" t="s">
        <v>3</v>
      </c>
      <c r="AQ12" s="1" t="s">
        <v>3</v>
      </c>
      <c r="AR12" s="1" t="s">
        <v>3</v>
      </c>
      <c r="AS12" s="1" t="s">
        <v>3</v>
      </c>
      <c r="AT12" s="1" t="s">
        <v>3</v>
      </c>
      <c r="AU12" s="1" t="s">
        <v>3</v>
      </c>
      <c r="AV12" s="1" t="s">
        <v>3</v>
      </c>
      <c r="AW12" s="1" t="s">
        <v>3</v>
      </c>
      <c r="AX12" s="1"/>
      <c r="AY12" s="1"/>
      <c r="AZ12" s="1"/>
      <c r="BA12" s="1">
        <v>0</v>
      </c>
      <c r="BB12" s="1">
        <v>0</v>
      </c>
      <c r="BC12" s="1">
        <v>0</v>
      </c>
      <c r="BD12" s="1">
        <v>6135048</v>
      </c>
      <c r="BE12" s="1" t="s">
        <v>5</v>
      </c>
      <c r="BF12" s="1" t="s">
        <v>6</v>
      </c>
      <c r="BG12" s="1">
        <v>6135072</v>
      </c>
      <c r="BH12" s="1">
        <v>0</v>
      </c>
      <c r="BI12" s="1">
        <v>1</v>
      </c>
      <c r="BJ12" s="1"/>
      <c r="BK12" s="1">
        <v>1</v>
      </c>
      <c r="BL12" s="1">
        <v>0</v>
      </c>
      <c r="BM12" s="1">
        <v>0</v>
      </c>
      <c r="BN12" s="1">
        <v>0</v>
      </c>
      <c r="BO12" s="1">
        <v>0</v>
      </c>
      <c r="BP12" s="1">
        <v>-1</v>
      </c>
      <c r="BQ12" s="1"/>
      <c r="BR12" s="1">
        <v>2</v>
      </c>
      <c r="BS12" s="1"/>
      <c r="BT12" s="1">
        <v>0</v>
      </c>
      <c r="BU12" s="1">
        <v>1</v>
      </c>
      <c r="BV12" s="1">
        <v>0</v>
      </c>
      <c r="BW12" s="1">
        <v>0</v>
      </c>
      <c r="BX12" s="1">
        <v>0</v>
      </c>
      <c r="BY12" s="1">
        <v>0</v>
      </c>
      <c r="BZ12" s="1">
        <v>0</v>
      </c>
      <c r="CA12" s="1">
        <v>5531294</v>
      </c>
      <c r="CB12" s="1">
        <v>5531272</v>
      </c>
      <c r="CC12" s="1">
        <v>5531281</v>
      </c>
      <c r="CD12" s="1">
        <v>5531285</v>
      </c>
      <c r="CE12" s="1">
        <v>0</v>
      </c>
      <c r="CF12" s="1">
        <v>0</v>
      </c>
      <c r="CG12" s="1" t="s">
        <v>3</v>
      </c>
      <c r="CH12" s="1" t="s">
        <v>3</v>
      </c>
      <c r="CI12" s="1" t="s">
        <v>3</v>
      </c>
      <c r="CJ12" s="1">
        <v>0</v>
      </c>
      <c r="CK12" s="1">
        <v>5531295</v>
      </c>
      <c r="CL12" s="1" t="s">
        <v>7</v>
      </c>
      <c r="CM12" s="1" t="s">
        <v>8</v>
      </c>
      <c r="CN12" s="1" t="s">
        <v>7</v>
      </c>
      <c r="CO12" s="1" t="s">
        <v>7</v>
      </c>
      <c r="CP12" s="1" t="s">
        <v>7</v>
      </c>
      <c r="CQ12" s="1" t="s">
        <v>7</v>
      </c>
      <c r="CR12" s="1" t="s">
        <v>9</v>
      </c>
      <c r="CS12" s="1">
        <v>5154925</v>
      </c>
      <c r="CT12" s="1">
        <v>0</v>
      </c>
      <c r="CU12" s="1">
        <v>0</v>
      </c>
      <c r="CV12" s="1">
        <v>0</v>
      </c>
      <c r="CW12" s="1">
        <v>0</v>
      </c>
      <c r="CX12" s="1">
        <v>0</v>
      </c>
      <c r="CY12" s="1">
        <v>8</v>
      </c>
    </row>
    <row r="15" spans="1:103" ht="12.75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</row>
    <row r="18" spans="1:39" ht="12.75">
      <c r="A18" s="2">
        <v>52</v>
      </c>
      <c r="B18" s="2">
        <f aca="true" t="shared" si="0" ref="B18:AM18">B73</f>
        <v>1</v>
      </c>
      <c r="C18" s="2">
        <f t="shared" si="0"/>
        <v>1</v>
      </c>
      <c r="D18" s="2">
        <f t="shared" si="0"/>
        <v>12</v>
      </c>
      <c r="E18" s="2">
        <f t="shared" si="0"/>
        <v>0</v>
      </c>
      <c r="F18" s="2" t="str">
        <f t="shared" si="0"/>
        <v>Новый объект</v>
      </c>
      <c r="G18" s="2" t="str">
        <f t="shared" si="0"/>
        <v>МОУ средняя общеобразовательная школа с. Никольское на Черемшане</v>
      </c>
      <c r="H18" s="2">
        <f t="shared" si="0"/>
        <v>0</v>
      </c>
      <c r="I18" s="2">
        <f t="shared" si="0"/>
        <v>0</v>
      </c>
      <c r="J18" s="2">
        <f t="shared" si="0"/>
        <v>0</v>
      </c>
      <c r="K18" s="2">
        <f t="shared" si="0"/>
        <v>0</v>
      </c>
      <c r="L18" s="2">
        <f t="shared" si="0"/>
        <v>0</v>
      </c>
      <c r="M18" s="2">
        <f t="shared" si="0"/>
        <v>0</v>
      </c>
      <c r="N18" s="2">
        <f t="shared" si="0"/>
        <v>0</v>
      </c>
      <c r="O18" s="2">
        <f t="shared" si="0"/>
        <v>7243.21</v>
      </c>
      <c r="P18" s="2">
        <f t="shared" si="0"/>
        <v>3159.44</v>
      </c>
      <c r="Q18" s="2">
        <f t="shared" si="0"/>
        <v>2.26</v>
      </c>
      <c r="R18" s="2">
        <f t="shared" si="0"/>
        <v>0.54</v>
      </c>
      <c r="S18" s="2">
        <f t="shared" si="0"/>
        <v>4081.51</v>
      </c>
      <c r="T18" s="2">
        <f t="shared" si="0"/>
        <v>0</v>
      </c>
      <c r="U18" s="2">
        <f t="shared" si="0"/>
        <v>454.45</v>
      </c>
      <c r="V18" s="2">
        <f t="shared" si="0"/>
        <v>0.06</v>
      </c>
      <c r="W18" s="2">
        <f t="shared" si="0"/>
        <v>0</v>
      </c>
      <c r="X18" s="2">
        <f t="shared" si="0"/>
        <v>4064.91</v>
      </c>
      <c r="Y18" s="2">
        <f t="shared" si="0"/>
        <v>2375.75</v>
      </c>
      <c r="Z18" s="2">
        <f t="shared" si="0"/>
        <v>0</v>
      </c>
      <c r="AA18" s="2">
        <f t="shared" si="0"/>
        <v>0</v>
      </c>
      <c r="AB18" s="2">
        <f t="shared" si="0"/>
        <v>0</v>
      </c>
      <c r="AC18" s="2">
        <f t="shared" si="0"/>
        <v>0</v>
      </c>
      <c r="AD18" s="2">
        <f t="shared" si="0"/>
        <v>0</v>
      </c>
      <c r="AE18" s="2">
        <f t="shared" si="0"/>
        <v>0</v>
      </c>
      <c r="AF18" s="2">
        <f t="shared" si="0"/>
        <v>0</v>
      </c>
      <c r="AG18" s="2">
        <f t="shared" si="0"/>
        <v>0</v>
      </c>
      <c r="AH18" s="2">
        <f t="shared" si="0"/>
        <v>0</v>
      </c>
      <c r="AI18" s="2">
        <f t="shared" si="0"/>
        <v>0</v>
      </c>
      <c r="AJ18" s="2">
        <f t="shared" si="0"/>
        <v>0</v>
      </c>
      <c r="AK18" s="2">
        <f t="shared" si="0"/>
        <v>0</v>
      </c>
      <c r="AL18" s="2">
        <f t="shared" si="0"/>
        <v>0</v>
      </c>
      <c r="AM18" s="2">
        <f t="shared" si="0"/>
        <v>0</v>
      </c>
    </row>
    <row r="19" ht="12.75">
      <c r="G19">
        <v>0</v>
      </c>
    </row>
    <row r="20" spans="1:59" ht="12.75">
      <c r="A20" s="1">
        <v>3</v>
      </c>
      <c r="B20" s="1">
        <v>1</v>
      </c>
      <c r="C20" s="1"/>
      <c r="D20" s="1">
        <f>ROW(A35)</f>
        <v>35</v>
      </c>
      <c r="E20" s="1"/>
      <c r="F20" s="1" t="s">
        <v>10</v>
      </c>
      <c r="G20" s="1" t="s">
        <v>212</v>
      </c>
      <c r="H20" s="1"/>
      <c r="I20" s="1"/>
      <c r="J20" s="1" t="s">
        <v>3</v>
      </c>
      <c r="K20" s="1"/>
      <c r="L20" s="1"/>
      <c r="M20" s="1"/>
      <c r="N20" s="1" t="s">
        <v>3</v>
      </c>
      <c r="O20" s="1"/>
      <c r="P20" s="1"/>
      <c r="Q20" s="1"/>
      <c r="R20" s="1" t="s">
        <v>3</v>
      </c>
      <c r="S20" s="1" t="s">
        <v>3</v>
      </c>
      <c r="T20" s="1" t="s">
        <v>3</v>
      </c>
      <c r="U20" s="1" t="s">
        <v>3</v>
      </c>
      <c r="V20" s="1"/>
      <c r="W20" s="1"/>
      <c r="X20" s="1">
        <v>0</v>
      </c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>
        <v>0</v>
      </c>
      <c r="AK20" s="1">
        <v>0</v>
      </c>
      <c r="AL20" s="1">
        <v>0</v>
      </c>
      <c r="AM20" s="1"/>
      <c r="BE20" t="s">
        <v>11</v>
      </c>
      <c r="BF20">
        <v>0</v>
      </c>
      <c r="BG20">
        <v>0</v>
      </c>
    </row>
    <row r="22" spans="1:39" ht="12.75">
      <c r="A22" s="2">
        <v>52</v>
      </c>
      <c r="B22" s="2">
        <f aca="true" t="shared" si="1" ref="B22:AM22">B35</f>
        <v>1</v>
      </c>
      <c r="C22" s="2">
        <f t="shared" si="1"/>
        <v>3</v>
      </c>
      <c r="D22" s="2">
        <f t="shared" si="1"/>
        <v>20</v>
      </c>
      <c r="E22" s="2">
        <f t="shared" si="1"/>
        <v>0</v>
      </c>
      <c r="F22" s="2" t="str">
        <f t="shared" si="1"/>
        <v>Новая локальная смета</v>
      </c>
      <c r="G22" s="2" t="str">
        <f t="shared" si="1"/>
        <v>по промывке  и прочистке отпительных приборов</v>
      </c>
      <c r="H22" s="2">
        <f t="shared" si="1"/>
        <v>0</v>
      </c>
      <c r="I22" s="2">
        <f t="shared" si="1"/>
        <v>0</v>
      </c>
      <c r="J22" s="2">
        <f t="shared" si="1"/>
        <v>0</v>
      </c>
      <c r="K22" s="2">
        <f t="shared" si="1"/>
        <v>0</v>
      </c>
      <c r="L22" s="2">
        <f t="shared" si="1"/>
        <v>0</v>
      </c>
      <c r="M22" s="2">
        <f t="shared" si="1"/>
        <v>0</v>
      </c>
      <c r="N22" s="2">
        <f t="shared" si="1"/>
        <v>0</v>
      </c>
      <c r="O22" s="2">
        <f t="shared" si="1"/>
        <v>7243.21</v>
      </c>
      <c r="P22" s="2">
        <f t="shared" si="1"/>
        <v>3159.44</v>
      </c>
      <c r="Q22" s="2">
        <f t="shared" si="1"/>
        <v>2.26</v>
      </c>
      <c r="R22" s="2">
        <f t="shared" si="1"/>
        <v>0.54</v>
      </c>
      <c r="S22" s="2">
        <f t="shared" si="1"/>
        <v>4081.51</v>
      </c>
      <c r="T22" s="2">
        <f t="shared" si="1"/>
        <v>0</v>
      </c>
      <c r="U22" s="2">
        <f t="shared" si="1"/>
        <v>454.45</v>
      </c>
      <c r="V22" s="2">
        <f t="shared" si="1"/>
        <v>0.06</v>
      </c>
      <c r="W22" s="2">
        <f t="shared" si="1"/>
        <v>0</v>
      </c>
      <c r="X22" s="2">
        <f t="shared" si="1"/>
        <v>4064.91</v>
      </c>
      <c r="Y22" s="2">
        <f t="shared" si="1"/>
        <v>2375.75</v>
      </c>
      <c r="Z22" s="2">
        <f t="shared" si="1"/>
        <v>0</v>
      </c>
      <c r="AA22" s="2">
        <f t="shared" si="1"/>
        <v>0</v>
      </c>
      <c r="AB22" s="2">
        <f t="shared" si="1"/>
        <v>7243.21</v>
      </c>
      <c r="AC22" s="2">
        <f t="shared" si="1"/>
        <v>3159.44</v>
      </c>
      <c r="AD22" s="2">
        <f t="shared" si="1"/>
        <v>2.26</v>
      </c>
      <c r="AE22" s="2">
        <f t="shared" si="1"/>
        <v>0.54</v>
      </c>
      <c r="AF22" s="2">
        <f t="shared" si="1"/>
        <v>4081.51</v>
      </c>
      <c r="AG22" s="2">
        <f t="shared" si="1"/>
        <v>0</v>
      </c>
      <c r="AH22" s="2">
        <f t="shared" si="1"/>
        <v>454.45</v>
      </c>
      <c r="AI22" s="2">
        <f t="shared" si="1"/>
        <v>0.06</v>
      </c>
      <c r="AJ22" s="2">
        <f t="shared" si="1"/>
        <v>0</v>
      </c>
      <c r="AK22" s="2">
        <f t="shared" si="1"/>
        <v>4064.91</v>
      </c>
      <c r="AL22" s="2">
        <f t="shared" si="1"/>
        <v>2375.75</v>
      </c>
      <c r="AM22" s="2">
        <f t="shared" si="1"/>
        <v>0</v>
      </c>
    </row>
    <row r="24" spans="1:154" ht="12.75">
      <c r="A24">
        <v>17</v>
      </c>
      <c r="B24">
        <v>1</v>
      </c>
      <c r="C24">
        <f>ROW(SmtRes!A3)</f>
        <v>3</v>
      </c>
      <c r="D24">
        <f>ROW(EtalonRes!A3)</f>
        <v>3</v>
      </c>
      <c r="E24" t="s">
        <v>12</v>
      </c>
      <c r="F24" t="s">
        <v>13</v>
      </c>
      <c r="G24" t="s">
        <v>14</v>
      </c>
      <c r="H24" t="s">
        <v>15</v>
      </c>
      <c r="I24">
        <v>1</v>
      </c>
      <c r="J24">
        <v>0</v>
      </c>
      <c r="O24">
        <f aca="true" t="shared" si="2" ref="O24:O33">ROUND(CP24,2)</f>
        <v>367.36</v>
      </c>
      <c r="P24">
        <f aca="true" t="shared" si="3" ref="P24:P33">ROUND(CQ24*I24,2)</f>
        <v>0</v>
      </c>
      <c r="Q24">
        <f aca="true" t="shared" si="4" ref="Q24:Q33">ROUND(CR24*I24,2)</f>
        <v>0</v>
      </c>
      <c r="R24">
        <f aca="true" t="shared" si="5" ref="R24:R33">ROUND(CS24*I24,2)</f>
        <v>0</v>
      </c>
      <c r="S24">
        <f aca="true" t="shared" si="6" ref="S24:S33">ROUND(CT24*I24,2)</f>
        <v>367.36</v>
      </c>
      <c r="T24">
        <f aca="true" t="shared" si="7" ref="T24:T33">ROUND(CU24*I24,2)</f>
        <v>0</v>
      </c>
      <c r="U24">
        <f aca="true" t="shared" si="8" ref="U24:U33">ROUND(CV24*I24,2)</f>
        <v>25.3</v>
      </c>
      <c r="V24">
        <f aca="true" t="shared" si="9" ref="V24:V33">ROUND(CW24*I24,2)</f>
        <v>0</v>
      </c>
      <c r="W24">
        <f aca="true" t="shared" si="10" ref="W24:W33">ROUND(CX24*I24,2)</f>
        <v>0</v>
      </c>
      <c r="X24">
        <f aca="true" t="shared" si="11" ref="X24:X33">ROUND(CY24,2)</f>
        <v>238.78</v>
      </c>
      <c r="Y24">
        <f aca="true" t="shared" si="12" ref="Y24:Y33">ROUND(CZ24,2)</f>
        <v>146.94</v>
      </c>
      <c r="AA24">
        <v>0</v>
      </c>
      <c r="AB24">
        <f aca="true" t="shared" si="13" ref="AB24:AB32">(AC24+AD24+AF24)</f>
        <v>367.356</v>
      </c>
      <c r="AC24">
        <f aca="true" t="shared" si="14" ref="AC24:AC32">(ES24)</f>
        <v>0</v>
      </c>
      <c r="AD24">
        <f aca="true" t="shared" si="15" ref="AD24:AD32">(ET24)</f>
        <v>0</v>
      </c>
      <c r="AE24">
        <f aca="true" t="shared" si="16" ref="AE24:AE32">(EU24)</f>
        <v>0</v>
      </c>
      <c r="AF24">
        <f>((EV24*1.15))</f>
        <v>367.356</v>
      </c>
      <c r="AG24">
        <f aca="true" t="shared" si="17" ref="AG24:AG33">(AP24)</f>
        <v>0</v>
      </c>
      <c r="AH24">
        <f>((EW24*1.15))</f>
        <v>25.299999999999997</v>
      </c>
      <c r="AI24">
        <f aca="true" t="shared" si="18" ref="AI24:AI33">(EX24)</f>
        <v>0</v>
      </c>
      <c r="AJ24">
        <f aca="true" t="shared" si="19" ref="AJ24:AJ33">(AS24)</f>
        <v>0</v>
      </c>
      <c r="AK24">
        <v>319.44</v>
      </c>
      <c r="AL24">
        <v>0</v>
      </c>
      <c r="AM24">
        <v>0</v>
      </c>
      <c r="AN24">
        <v>0</v>
      </c>
      <c r="AO24">
        <v>319.44</v>
      </c>
      <c r="AP24">
        <v>0</v>
      </c>
      <c r="AQ24">
        <v>22</v>
      </c>
      <c r="AR24">
        <v>0</v>
      </c>
      <c r="AS24">
        <v>0</v>
      </c>
      <c r="AT24">
        <f aca="true" t="shared" si="20" ref="AT24:AT33">BZ24</f>
        <v>65</v>
      </c>
      <c r="AU24">
        <f aca="true" t="shared" si="21" ref="AU24:AU33">CA24</f>
        <v>40</v>
      </c>
      <c r="AV24">
        <v>1</v>
      </c>
      <c r="AW24">
        <v>1</v>
      </c>
      <c r="AX24">
        <v>1</v>
      </c>
      <c r="AY24">
        <v>1</v>
      </c>
      <c r="AZ24">
        <v>1</v>
      </c>
      <c r="BA24">
        <v>1</v>
      </c>
      <c r="BB24">
        <v>1</v>
      </c>
      <c r="BC24">
        <v>1</v>
      </c>
      <c r="BH24">
        <v>0</v>
      </c>
      <c r="BI24">
        <v>3</v>
      </c>
      <c r="BJ24" t="s">
        <v>16</v>
      </c>
      <c r="BM24">
        <v>60</v>
      </c>
      <c r="BN24">
        <v>0</v>
      </c>
      <c r="BO24" t="s">
        <v>13</v>
      </c>
      <c r="BP24">
        <v>1</v>
      </c>
      <c r="BQ24">
        <v>4</v>
      </c>
      <c r="BR24">
        <v>0</v>
      </c>
      <c r="BS24">
        <v>1</v>
      </c>
      <c r="BT24">
        <v>1</v>
      </c>
      <c r="BU24">
        <v>1</v>
      </c>
      <c r="BV24">
        <v>1</v>
      </c>
      <c r="BW24">
        <v>1</v>
      </c>
      <c r="BX24">
        <v>1</v>
      </c>
      <c r="BZ24">
        <v>65</v>
      </c>
      <c r="CA24">
        <v>40</v>
      </c>
      <c r="CF24">
        <v>0</v>
      </c>
      <c r="CG24">
        <v>0</v>
      </c>
      <c r="CM24">
        <v>0</v>
      </c>
      <c r="CN24" t="s">
        <v>17</v>
      </c>
      <c r="CO24">
        <v>0</v>
      </c>
      <c r="CP24">
        <f aca="true" t="shared" si="22" ref="CP24:CP33">(P24+Q24+S24)</f>
        <v>367.36</v>
      </c>
      <c r="CQ24">
        <f aca="true" t="shared" si="23" ref="CQ24:CQ33">(AC24)*BC24</f>
        <v>0</v>
      </c>
      <c r="CR24">
        <f aca="true" t="shared" si="24" ref="CR24:CR33">(AD24)*BB24</f>
        <v>0</v>
      </c>
      <c r="CS24">
        <f aca="true" t="shared" si="25" ref="CS24:CS33">(AE24)*BS24</f>
        <v>0</v>
      </c>
      <c r="CT24">
        <f aca="true" t="shared" si="26" ref="CT24:CT33">(AF24)*BA24</f>
        <v>367.356</v>
      </c>
      <c r="CU24">
        <f aca="true" t="shared" si="27" ref="CU24:CU33">(AG24)*BT24</f>
        <v>0</v>
      </c>
      <c r="CV24">
        <f aca="true" t="shared" si="28" ref="CV24:CV33">(AH24)*BU24</f>
        <v>25.299999999999997</v>
      </c>
      <c r="CW24">
        <f aca="true" t="shared" si="29" ref="CW24:CW33">(AI24)*BV24</f>
        <v>0</v>
      </c>
      <c r="CX24">
        <f aca="true" t="shared" si="30" ref="CX24:CX33">(AJ24)*BW24</f>
        <v>0</v>
      </c>
      <c r="CY24">
        <f aca="true" t="shared" si="31" ref="CY24:CY33">(((S24+R24)*BZ24)/100)</f>
        <v>238.78400000000002</v>
      </c>
      <c r="CZ24">
        <f aca="true" t="shared" si="32" ref="CZ24:CZ33">(((S24+R24)*CA24)/100)</f>
        <v>146.94400000000002</v>
      </c>
      <c r="DG24" t="s">
        <v>18</v>
      </c>
      <c r="DI24" t="s">
        <v>18</v>
      </c>
      <c r="DN24">
        <v>0</v>
      </c>
      <c r="DO24">
        <v>0</v>
      </c>
      <c r="DP24">
        <v>1</v>
      </c>
      <c r="DQ24">
        <v>1</v>
      </c>
      <c r="DR24">
        <v>1</v>
      </c>
      <c r="DS24">
        <v>1</v>
      </c>
      <c r="DT24">
        <v>1</v>
      </c>
      <c r="DU24">
        <v>1013</v>
      </c>
      <c r="DV24" t="s">
        <v>15</v>
      </c>
      <c r="DW24" t="s">
        <v>15</v>
      </c>
      <c r="DX24">
        <v>1</v>
      </c>
      <c r="EE24">
        <v>6135132</v>
      </c>
      <c r="EF24">
        <v>4</v>
      </c>
      <c r="EG24" t="s">
        <v>19</v>
      </c>
      <c r="EH24">
        <v>0</v>
      </c>
      <c r="EJ24">
        <v>3</v>
      </c>
      <c r="EK24">
        <v>60</v>
      </c>
      <c r="EL24" t="s">
        <v>19</v>
      </c>
      <c r="EM24" t="s">
        <v>20</v>
      </c>
      <c r="EO24" t="s">
        <v>21</v>
      </c>
      <c r="EP24" t="s">
        <v>186</v>
      </c>
      <c r="EQ24">
        <v>0</v>
      </c>
      <c r="ER24">
        <v>319.44</v>
      </c>
      <c r="ES24">
        <v>0</v>
      </c>
      <c r="ET24">
        <v>0</v>
      </c>
      <c r="EU24">
        <v>0</v>
      </c>
      <c r="EV24">
        <v>319.44</v>
      </c>
      <c r="EW24">
        <v>22</v>
      </c>
      <c r="EX24">
        <v>0</v>
      </c>
    </row>
    <row r="25" spans="1:154" ht="12.75">
      <c r="A25">
        <v>17</v>
      </c>
      <c r="B25">
        <v>1</v>
      </c>
      <c r="C25">
        <f>ROW(SmtRes!A4)</f>
        <v>4</v>
      </c>
      <c r="D25">
        <f>ROW(EtalonRes!A4)</f>
        <v>4</v>
      </c>
      <c r="E25" t="s">
        <v>22</v>
      </c>
      <c r="F25" t="s">
        <v>23</v>
      </c>
      <c r="G25" t="s">
        <v>24</v>
      </c>
      <c r="H25" t="s">
        <v>25</v>
      </c>
      <c r="I25">
        <v>5</v>
      </c>
      <c r="J25">
        <v>0</v>
      </c>
      <c r="O25">
        <f t="shared" si="2"/>
        <v>15.6</v>
      </c>
      <c r="P25">
        <f t="shared" si="3"/>
        <v>0</v>
      </c>
      <c r="Q25">
        <f t="shared" si="4"/>
        <v>0</v>
      </c>
      <c r="R25">
        <f t="shared" si="5"/>
        <v>0</v>
      </c>
      <c r="S25">
        <f t="shared" si="6"/>
        <v>15.6</v>
      </c>
      <c r="T25">
        <f t="shared" si="7"/>
        <v>0</v>
      </c>
      <c r="U25">
        <f t="shared" si="8"/>
        <v>2.05</v>
      </c>
      <c r="V25">
        <f t="shared" si="9"/>
        <v>0</v>
      </c>
      <c r="W25">
        <f t="shared" si="10"/>
        <v>0</v>
      </c>
      <c r="X25">
        <f t="shared" si="11"/>
        <v>16.07</v>
      </c>
      <c r="Y25">
        <f t="shared" si="12"/>
        <v>9.36</v>
      </c>
      <c r="AA25">
        <v>0</v>
      </c>
      <c r="AB25">
        <f t="shared" si="13"/>
        <v>3.12</v>
      </c>
      <c r="AC25">
        <f t="shared" si="14"/>
        <v>0</v>
      </c>
      <c r="AD25">
        <f t="shared" si="15"/>
        <v>0</v>
      </c>
      <c r="AE25">
        <f t="shared" si="16"/>
        <v>0</v>
      </c>
      <c r="AF25">
        <f>(EV25)</f>
        <v>3.12</v>
      </c>
      <c r="AG25">
        <f t="shared" si="17"/>
        <v>0</v>
      </c>
      <c r="AH25">
        <f>(EW25)</f>
        <v>0.41</v>
      </c>
      <c r="AI25">
        <f t="shared" si="18"/>
        <v>0</v>
      </c>
      <c r="AJ25">
        <f t="shared" si="19"/>
        <v>0</v>
      </c>
      <c r="AK25">
        <v>3.12</v>
      </c>
      <c r="AL25">
        <v>0</v>
      </c>
      <c r="AM25">
        <v>0</v>
      </c>
      <c r="AN25">
        <v>0</v>
      </c>
      <c r="AO25">
        <v>3.12</v>
      </c>
      <c r="AP25">
        <v>0</v>
      </c>
      <c r="AQ25">
        <v>0.41</v>
      </c>
      <c r="AR25">
        <v>0</v>
      </c>
      <c r="AS25">
        <v>0</v>
      </c>
      <c r="AT25">
        <f t="shared" si="20"/>
        <v>103</v>
      </c>
      <c r="AU25">
        <f t="shared" si="21"/>
        <v>60</v>
      </c>
      <c r="AV25">
        <v>1</v>
      </c>
      <c r="AW25">
        <v>1</v>
      </c>
      <c r="AX25">
        <v>1</v>
      </c>
      <c r="AY25">
        <v>1</v>
      </c>
      <c r="AZ25">
        <v>1</v>
      </c>
      <c r="BA25">
        <v>1</v>
      </c>
      <c r="BB25">
        <v>1</v>
      </c>
      <c r="BC25">
        <v>1</v>
      </c>
      <c r="BH25">
        <v>0</v>
      </c>
      <c r="BI25">
        <v>1</v>
      </c>
      <c r="BJ25" t="s">
        <v>26</v>
      </c>
      <c r="BM25">
        <v>226</v>
      </c>
      <c r="BN25">
        <v>0</v>
      </c>
      <c r="BO25" t="s">
        <v>23</v>
      </c>
      <c r="BP25">
        <v>1</v>
      </c>
      <c r="BQ25">
        <v>6</v>
      </c>
      <c r="BR25">
        <v>0</v>
      </c>
      <c r="BS25">
        <v>1</v>
      </c>
      <c r="BT25">
        <v>1</v>
      </c>
      <c r="BU25">
        <v>1</v>
      </c>
      <c r="BV25">
        <v>1</v>
      </c>
      <c r="BW25">
        <v>1</v>
      </c>
      <c r="BX25">
        <v>1</v>
      </c>
      <c r="BZ25">
        <v>103</v>
      </c>
      <c r="CA25">
        <v>60</v>
      </c>
      <c r="CF25">
        <v>0</v>
      </c>
      <c r="CG25">
        <v>0</v>
      </c>
      <c r="CM25">
        <v>0</v>
      </c>
      <c r="CO25">
        <v>0</v>
      </c>
      <c r="CP25">
        <f t="shared" si="22"/>
        <v>15.6</v>
      </c>
      <c r="CQ25">
        <f t="shared" si="23"/>
        <v>0</v>
      </c>
      <c r="CR25">
        <f t="shared" si="24"/>
        <v>0</v>
      </c>
      <c r="CS25">
        <f t="shared" si="25"/>
        <v>0</v>
      </c>
      <c r="CT25">
        <f t="shared" si="26"/>
        <v>3.12</v>
      </c>
      <c r="CU25">
        <f t="shared" si="27"/>
        <v>0</v>
      </c>
      <c r="CV25">
        <f t="shared" si="28"/>
        <v>0.41</v>
      </c>
      <c r="CW25">
        <f t="shared" si="29"/>
        <v>0</v>
      </c>
      <c r="CX25">
        <f t="shared" si="30"/>
        <v>0</v>
      </c>
      <c r="CY25">
        <f t="shared" si="31"/>
        <v>16.067999999999998</v>
      </c>
      <c r="CZ25">
        <f t="shared" si="32"/>
        <v>9.36</v>
      </c>
      <c r="DN25">
        <v>0</v>
      </c>
      <c r="DO25">
        <v>0</v>
      </c>
      <c r="DP25">
        <v>1</v>
      </c>
      <c r="DQ25">
        <v>1</v>
      </c>
      <c r="DR25">
        <v>1</v>
      </c>
      <c r="DS25">
        <v>1</v>
      </c>
      <c r="DT25">
        <v>1</v>
      </c>
      <c r="DU25">
        <v>1007</v>
      </c>
      <c r="DV25" t="s">
        <v>25</v>
      </c>
      <c r="DW25" t="s">
        <v>27</v>
      </c>
      <c r="DX25">
        <v>1000</v>
      </c>
      <c r="EE25">
        <v>6135160</v>
      </c>
      <c r="EF25">
        <v>6</v>
      </c>
      <c r="EG25" t="s">
        <v>28</v>
      </c>
      <c r="EH25">
        <v>0</v>
      </c>
      <c r="EJ25">
        <v>1</v>
      </c>
      <c r="EK25">
        <v>226</v>
      </c>
      <c r="EL25" t="s">
        <v>29</v>
      </c>
      <c r="EM25" t="s">
        <v>30</v>
      </c>
      <c r="EP25" t="s">
        <v>187</v>
      </c>
      <c r="EQ25">
        <v>0</v>
      </c>
      <c r="ER25">
        <v>3.12</v>
      </c>
      <c r="ES25">
        <v>0</v>
      </c>
      <c r="ET25">
        <v>0</v>
      </c>
      <c r="EU25">
        <v>0</v>
      </c>
      <c r="EV25">
        <v>3.12</v>
      </c>
      <c r="EW25">
        <v>0.41</v>
      </c>
      <c r="EX25">
        <v>0</v>
      </c>
    </row>
    <row r="26" spans="1:154" ht="12.75">
      <c r="A26">
        <v>17</v>
      </c>
      <c r="B26">
        <v>1</v>
      </c>
      <c r="C26">
        <f>ROW(SmtRes!A8)</f>
        <v>8</v>
      </c>
      <c r="D26">
        <f>ROW(EtalonRes!A9)</f>
        <v>9</v>
      </c>
      <c r="E26" t="s">
        <v>31</v>
      </c>
      <c r="F26" t="s">
        <v>32</v>
      </c>
      <c r="G26" t="s">
        <v>33</v>
      </c>
      <c r="H26" t="s">
        <v>34</v>
      </c>
      <c r="I26">
        <v>0.55</v>
      </c>
      <c r="J26">
        <v>0</v>
      </c>
      <c r="O26">
        <f t="shared" si="2"/>
        <v>2646.65</v>
      </c>
      <c r="P26">
        <f t="shared" si="3"/>
        <v>1701.95</v>
      </c>
      <c r="Q26">
        <f t="shared" si="4"/>
        <v>0</v>
      </c>
      <c r="R26">
        <f t="shared" si="5"/>
        <v>0</v>
      </c>
      <c r="S26">
        <f t="shared" si="6"/>
        <v>944.7</v>
      </c>
      <c r="T26">
        <f t="shared" si="7"/>
        <v>0</v>
      </c>
      <c r="U26">
        <f t="shared" si="8"/>
        <v>110.88</v>
      </c>
      <c r="V26">
        <f t="shared" si="9"/>
        <v>0</v>
      </c>
      <c r="W26">
        <f t="shared" si="10"/>
        <v>0</v>
      </c>
      <c r="X26">
        <f t="shared" si="11"/>
        <v>973.04</v>
      </c>
      <c r="Y26">
        <f t="shared" si="12"/>
        <v>566.82</v>
      </c>
      <c r="AA26">
        <v>0</v>
      </c>
      <c r="AB26">
        <f t="shared" si="13"/>
        <v>4812.09</v>
      </c>
      <c r="AC26">
        <f t="shared" si="14"/>
        <v>3094.45</v>
      </c>
      <c r="AD26">
        <f t="shared" si="15"/>
        <v>0</v>
      </c>
      <c r="AE26">
        <f t="shared" si="16"/>
        <v>0</v>
      </c>
      <c r="AF26">
        <f>((EV26*2))</f>
        <v>1717.64</v>
      </c>
      <c r="AG26">
        <f t="shared" si="17"/>
        <v>0</v>
      </c>
      <c r="AH26">
        <f>((EW26*2))</f>
        <v>201.6</v>
      </c>
      <c r="AI26">
        <f t="shared" si="18"/>
        <v>0</v>
      </c>
      <c r="AJ26">
        <f t="shared" si="19"/>
        <v>0</v>
      </c>
      <c r="AK26">
        <v>3953.27</v>
      </c>
      <c r="AL26">
        <v>3094.45</v>
      </c>
      <c r="AM26">
        <v>0</v>
      </c>
      <c r="AN26">
        <v>0</v>
      </c>
      <c r="AO26">
        <v>858.82</v>
      </c>
      <c r="AP26">
        <v>0</v>
      </c>
      <c r="AQ26">
        <v>100.8</v>
      </c>
      <c r="AR26">
        <v>0</v>
      </c>
      <c r="AS26">
        <v>0</v>
      </c>
      <c r="AT26">
        <f t="shared" si="20"/>
        <v>103</v>
      </c>
      <c r="AU26">
        <f t="shared" si="21"/>
        <v>60</v>
      </c>
      <c r="AV26">
        <v>1</v>
      </c>
      <c r="AW26">
        <v>1</v>
      </c>
      <c r="AX26">
        <v>1</v>
      </c>
      <c r="AY26">
        <v>1</v>
      </c>
      <c r="AZ26">
        <v>1</v>
      </c>
      <c r="BA26">
        <v>1</v>
      </c>
      <c r="BB26">
        <v>1</v>
      </c>
      <c r="BC26">
        <v>1</v>
      </c>
      <c r="BH26">
        <v>0</v>
      </c>
      <c r="BI26">
        <v>1</v>
      </c>
      <c r="BJ26" t="s">
        <v>35</v>
      </c>
      <c r="BM26">
        <v>226</v>
      </c>
      <c r="BN26">
        <v>0</v>
      </c>
      <c r="BO26" t="s">
        <v>32</v>
      </c>
      <c r="BP26">
        <v>1</v>
      </c>
      <c r="BQ26">
        <v>6</v>
      </c>
      <c r="BR26">
        <v>0</v>
      </c>
      <c r="BS26">
        <v>1</v>
      </c>
      <c r="BT26">
        <v>1</v>
      </c>
      <c r="BU26">
        <v>1</v>
      </c>
      <c r="BV26">
        <v>1</v>
      </c>
      <c r="BW26">
        <v>1</v>
      </c>
      <c r="BX26">
        <v>1</v>
      </c>
      <c r="BZ26">
        <v>103</v>
      </c>
      <c r="CA26">
        <v>60</v>
      </c>
      <c r="CF26">
        <v>0</v>
      </c>
      <c r="CG26">
        <v>0</v>
      </c>
      <c r="CM26">
        <v>0</v>
      </c>
      <c r="CO26">
        <v>0</v>
      </c>
      <c r="CP26">
        <f t="shared" si="22"/>
        <v>2646.65</v>
      </c>
      <c r="CQ26">
        <f t="shared" si="23"/>
        <v>3094.45</v>
      </c>
      <c r="CR26">
        <f t="shared" si="24"/>
        <v>0</v>
      </c>
      <c r="CS26">
        <f t="shared" si="25"/>
        <v>0</v>
      </c>
      <c r="CT26">
        <f t="shared" si="26"/>
        <v>1717.64</v>
      </c>
      <c r="CU26">
        <f t="shared" si="27"/>
        <v>0</v>
      </c>
      <c r="CV26">
        <f t="shared" si="28"/>
        <v>201.6</v>
      </c>
      <c r="CW26">
        <f t="shared" si="29"/>
        <v>0</v>
      </c>
      <c r="CX26">
        <f t="shared" si="30"/>
        <v>0</v>
      </c>
      <c r="CY26">
        <f t="shared" si="31"/>
        <v>973.041</v>
      </c>
      <c r="CZ26">
        <f t="shared" si="32"/>
        <v>566.82</v>
      </c>
      <c r="DG26" t="s">
        <v>36</v>
      </c>
      <c r="DI26" t="s">
        <v>36</v>
      </c>
      <c r="DN26">
        <v>0</v>
      </c>
      <c r="DO26">
        <v>0</v>
      </c>
      <c r="DP26">
        <v>1</v>
      </c>
      <c r="DQ26">
        <v>1</v>
      </c>
      <c r="DR26">
        <v>1</v>
      </c>
      <c r="DS26">
        <v>1</v>
      </c>
      <c r="DT26">
        <v>1</v>
      </c>
      <c r="DU26">
        <v>1010</v>
      </c>
      <c r="DV26" t="s">
        <v>34</v>
      </c>
      <c r="DW26" t="s">
        <v>34</v>
      </c>
      <c r="DX26">
        <v>100</v>
      </c>
      <c r="EE26">
        <v>6135160</v>
      </c>
      <c r="EF26">
        <v>6</v>
      </c>
      <c r="EG26" t="s">
        <v>28</v>
      </c>
      <c r="EH26">
        <v>0</v>
      </c>
      <c r="EJ26">
        <v>1</v>
      </c>
      <c r="EK26">
        <v>226</v>
      </c>
      <c r="EL26" t="s">
        <v>29</v>
      </c>
      <c r="EM26" t="s">
        <v>30</v>
      </c>
      <c r="EP26" t="s">
        <v>37</v>
      </c>
      <c r="EQ26">
        <v>0</v>
      </c>
      <c r="ER26">
        <v>3953.27</v>
      </c>
      <c r="ES26">
        <v>3094.45</v>
      </c>
      <c r="ET26">
        <v>0</v>
      </c>
      <c r="EU26">
        <v>0</v>
      </c>
      <c r="EV26">
        <v>858.82</v>
      </c>
      <c r="EW26">
        <v>100.8</v>
      </c>
      <c r="EX26">
        <v>0</v>
      </c>
    </row>
    <row r="27" spans="1:154" ht="12.75">
      <c r="A27">
        <v>17</v>
      </c>
      <c r="B27">
        <v>1</v>
      </c>
      <c r="E27" t="s">
        <v>38</v>
      </c>
      <c r="F27" t="s">
        <v>39</v>
      </c>
      <c r="G27" t="s">
        <v>40</v>
      </c>
      <c r="H27" t="s">
        <v>41</v>
      </c>
      <c r="I27">
        <v>-30</v>
      </c>
      <c r="J27">
        <v>0</v>
      </c>
      <c r="O27">
        <f t="shared" si="2"/>
        <v>-876.9</v>
      </c>
      <c r="P27">
        <f t="shared" si="3"/>
        <v>-876.9</v>
      </c>
      <c r="Q27">
        <f t="shared" si="4"/>
        <v>0</v>
      </c>
      <c r="R27">
        <f t="shared" si="5"/>
        <v>0</v>
      </c>
      <c r="S27">
        <f t="shared" si="6"/>
        <v>0</v>
      </c>
      <c r="T27">
        <f t="shared" si="7"/>
        <v>0</v>
      </c>
      <c r="U27">
        <f t="shared" si="8"/>
        <v>0</v>
      </c>
      <c r="V27">
        <f t="shared" si="9"/>
        <v>0</v>
      </c>
      <c r="W27">
        <f t="shared" si="10"/>
        <v>0</v>
      </c>
      <c r="X27">
        <f t="shared" si="11"/>
        <v>0</v>
      </c>
      <c r="Y27">
        <f t="shared" si="12"/>
        <v>0</v>
      </c>
      <c r="AA27">
        <v>0</v>
      </c>
      <c r="AB27">
        <f t="shared" si="13"/>
        <v>29.23</v>
      </c>
      <c r="AC27">
        <f t="shared" si="14"/>
        <v>29.23</v>
      </c>
      <c r="AD27">
        <f t="shared" si="15"/>
        <v>0</v>
      </c>
      <c r="AE27">
        <f t="shared" si="16"/>
        <v>0</v>
      </c>
      <c r="AF27">
        <f>(EV27)</f>
        <v>0</v>
      </c>
      <c r="AG27">
        <f t="shared" si="17"/>
        <v>0</v>
      </c>
      <c r="AH27">
        <f>(EW27)</f>
        <v>0</v>
      </c>
      <c r="AI27">
        <f t="shared" si="18"/>
        <v>0</v>
      </c>
      <c r="AJ27">
        <f t="shared" si="19"/>
        <v>0</v>
      </c>
      <c r="AK27">
        <v>29.23</v>
      </c>
      <c r="AL27">
        <v>29.23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f t="shared" si="20"/>
        <v>0</v>
      </c>
      <c r="AU27">
        <f t="shared" si="21"/>
        <v>0</v>
      </c>
      <c r="AV27">
        <v>1</v>
      </c>
      <c r="AW27">
        <v>1</v>
      </c>
      <c r="AX27">
        <v>1</v>
      </c>
      <c r="AY27">
        <v>1</v>
      </c>
      <c r="AZ27">
        <v>1</v>
      </c>
      <c r="BA27">
        <v>1</v>
      </c>
      <c r="BB27">
        <v>1</v>
      </c>
      <c r="BC27">
        <v>1</v>
      </c>
      <c r="BH27">
        <v>3</v>
      </c>
      <c r="BI27">
        <v>1</v>
      </c>
      <c r="BJ27" t="s">
        <v>42</v>
      </c>
      <c r="BM27">
        <v>1100</v>
      </c>
      <c r="BN27">
        <v>0</v>
      </c>
      <c r="BP27">
        <v>0</v>
      </c>
      <c r="BQ27">
        <v>8</v>
      </c>
      <c r="BR27">
        <v>0</v>
      </c>
      <c r="BS27">
        <v>1</v>
      </c>
      <c r="BT27">
        <v>1</v>
      </c>
      <c r="BU27">
        <v>1</v>
      </c>
      <c r="BV27">
        <v>1</v>
      </c>
      <c r="BW27">
        <v>1</v>
      </c>
      <c r="BX27">
        <v>1</v>
      </c>
      <c r="BZ27">
        <v>0</v>
      </c>
      <c r="CA27">
        <v>0</v>
      </c>
      <c r="CF27">
        <v>0</v>
      </c>
      <c r="CG27">
        <v>0</v>
      </c>
      <c r="CM27">
        <v>0</v>
      </c>
      <c r="CO27">
        <v>0</v>
      </c>
      <c r="CP27">
        <f t="shared" si="22"/>
        <v>-876.9</v>
      </c>
      <c r="CQ27">
        <f t="shared" si="23"/>
        <v>29.23</v>
      </c>
      <c r="CR27">
        <f t="shared" si="24"/>
        <v>0</v>
      </c>
      <c r="CS27">
        <f t="shared" si="25"/>
        <v>0</v>
      </c>
      <c r="CT27">
        <f t="shared" si="26"/>
        <v>0</v>
      </c>
      <c r="CU27">
        <f t="shared" si="27"/>
        <v>0</v>
      </c>
      <c r="CV27">
        <f t="shared" si="28"/>
        <v>0</v>
      </c>
      <c r="CW27">
        <f t="shared" si="29"/>
        <v>0</v>
      </c>
      <c r="CX27">
        <f t="shared" si="30"/>
        <v>0</v>
      </c>
      <c r="CY27">
        <f t="shared" si="31"/>
        <v>0</v>
      </c>
      <c r="CZ27">
        <f t="shared" si="32"/>
        <v>0</v>
      </c>
      <c r="DN27">
        <v>0</v>
      </c>
      <c r="DO27">
        <v>0</v>
      </c>
      <c r="DP27">
        <v>1</v>
      </c>
      <c r="DQ27">
        <v>1</v>
      </c>
      <c r="DR27">
        <v>1</v>
      </c>
      <c r="DS27">
        <v>1</v>
      </c>
      <c r="DT27">
        <v>1</v>
      </c>
      <c r="DU27">
        <v>1010</v>
      </c>
      <c r="DV27" t="s">
        <v>41</v>
      </c>
      <c r="DW27" t="s">
        <v>41</v>
      </c>
      <c r="DX27">
        <v>1</v>
      </c>
      <c r="EE27">
        <v>6135169</v>
      </c>
      <c r="EF27">
        <v>8</v>
      </c>
      <c r="EG27" t="s">
        <v>43</v>
      </c>
      <c r="EH27">
        <v>0</v>
      </c>
      <c r="EJ27">
        <v>1</v>
      </c>
      <c r="EK27">
        <v>1100</v>
      </c>
      <c r="EL27" t="s">
        <v>44</v>
      </c>
      <c r="EM27" t="s">
        <v>45</v>
      </c>
      <c r="EQ27">
        <v>0</v>
      </c>
      <c r="ER27">
        <v>29.23</v>
      </c>
      <c r="ES27">
        <v>29.23</v>
      </c>
      <c r="ET27">
        <v>0</v>
      </c>
      <c r="EU27">
        <v>0</v>
      </c>
      <c r="EV27">
        <v>0</v>
      </c>
      <c r="EW27">
        <v>0</v>
      </c>
      <c r="EX27">
        <v>0</v>
      </c>
    </row>
    <row r="28" spans="1:154" ht="12.75">
      <c r="A28">
        <v>17</v>
      </c>
      <c r="B28">
        <v>1</v>
      </c>
      <c r="C28">
        <f>ROW(SmtRes!A12)</f>
        <v>12</v>
      </c>
      <c r="D28">
        <f>ROW(EtalonRes!A14)</f>
        <v>14</v>
      </c>
      <c r="E28" t="s">
        <v>46</v>
      </c>
      <c r="F28" t="s">
        <v>47</v>
      </c>
      <c r="G28" t="s">
        <v>48</v>
      </c>
      <c r="H28" t="s">
        <v>34</v>
      </c>
      <c r="I28">
        <v>0.61</v>
      </c>
      <c r="J28">
        <v>0</v>
      </c>
      <c r="O28">
        <f t="shared" si="2"/>
        <v>1144.51</v>
      </c>
      <c r="P28">
        <f t="shared" si="3"/>
        <v>562.42</v>
      </c>
      <c r="Q28">
        <f t="shared" si="4"/>
        <v>2.26</v>
      </c>
      <c r="R28">
        <f t="shared" si="5"/>
        <v>0.54</v>
      </c>
      <c r="S28">
        <f t="shared" si="6"/>
        <v>579.83</v>
      </c>
      <c r="T28">
        <f t="shared" si="7"/>
        <v>0</v>
      </c>
      <c r="U28">
        <f t="shared" si="8"/>
        <v>63.93</v>
      </c>
      <c r="V28">
        <f t="shared" si="9"/>
        <v>0.06</v>
      </c>
      <c r="W28">
        <f t="shared" si="10"/>
        <v>0</v>
      </c>
      <c r="X28">
        <f t="shared" si="11"/>
        <v>597.78</v>
      </c>
      <c r="Y28">
        <f t="shared" si="12"/>
        <v>348.22</v>
      </c>
      <c r="AA28">
        <v>0</v>
      </c>
      <c r="AB28">
        <f t="shared" si="13"/>
        <v>1876.24</v>
      </c>
      <c r="AC28">
        <f t="shared" si="14"/>
        <v>922</v>
      </c>
      <c r="AD28">
        <f t="shared" si="15"/>
        <v>3.7</v>
      </c>
      <c r="AE28">
        <f t="shared" si="16"/>
        <v>0.89</v>
      </c>
      <c r="AF28">
        <f>((EV28*2))</f>
        <v>950.54</v>
      </c>
      <c r="AG28">
        <f t="shared" si="17"/>
        <v>0</v>
      </c>
      <c r="AH28">
        <f>((EW28*2))</f>
        <v>104.8</v>
      </c>
      <c r="AI28">
        <f t="shared" si="18"/>
        <v>0.1</v>
      </c>
      <c r="AJ28">
        <f t="shared" si="19"/>
        <v>0</v>
      </c>
      <c r="AK28">
        <v>1400.97</v>
      </c>
      <c r="AL28">
        <v>922</v>
      </c>
      <c r="AM28">
        <v>3.7</v>
      </c>
      <c r="AN28">
        <v>0.89</v>
      </c>
      <c r="AO28">
        <v>475.27</v>
      </c>
      <c r="AP28">
        <v>0</v>
      </c>
      <c r="AQ28">
        <v>52.4</v>
      </c>
      <c r="AR28">
        <v>0.1</v>
      </c>
      <c r="AS28">
        <v>0</v>
      </c>
      <c r="AT28">
        <f t="shared" si="20"/>
        <v>103</v>
      </c>
      <c r="AU28">
        <f t="shared" si="21"/>
        <v>60</v>
      </c>
      <c r="AV28">
        <v>1</v>
      </c>
      <c r="AW28">
        <v>1</v>
      </c>
      <c r="AX28">
        <v>1</v>
      </c>
      <c r="AY28">
        <v>1</v>
      </c>
      <c r="AZ28">
        <v>1</v>
      </c>
      <c r="BA28">
        <v>1</v>
      </c>
      <c r="BB28">
        <v>1</v>
      </c>
      <c r="BC28">
        <v>1</v>
      </c>
      <c r="BH28">
        <v>0</v>
      </c>
      <c r="BI28">
        <v>1</v>
      </c>
      <c r="BJ28" t="s">
        <v>49</v>
      </c>
      <c r="BM28">
        <v>226</v>
      </c>
      <c r="BN28">
        <v>0</v>
      </c>
      <c r="BO28" t="s">
        <v>47</v>
      </c>
      <c r="BP28">
        <v>1</v>
      </c>
      <c r="BQ28">
        <v>6</v>
      </c>
      <c r="BR28">
        <v>0</v>
      </c>
      <c r="BS28">
        <v>1</v>
      </c>
      <c r="BT28">
        <v>1</v>
      </c>
      <c r="BU28">
        <v>1</v>
      </c>
      <c r="BV28">
        <v>1</v>
      </c>
      <c r="BW28">
        <v>1</v>
      </c>
      <c r="BX28">
        <v>1</v>
      </c>
      <c r="BZ28">
        <v>103</v>
      </c>
      <c r="CA28">
        <v>60</v>
      </c>
      <c r="CF28">
        <v>0</v>
      </c>
      <c r="CG28">
        <v>0</v>
      </c>
      <c r="CM28">
        <v>0</v>
      </c>
      <c r="CO28">
        <v>0</v>
      </c>
      <c r="CP28">
        <f t="shared" si="22"/>
        <v>1144.51</v>
      </c>
      <c r="CQ28">
        <f t="shared" si="23"/>
        <v>922</v>
      </c>
      <c r="CR28">
        <f t="shared" si="24"/>
        <v>3.7</v>
      </c>
      <c r="CS28">
        <f t="shared" si="25"/>
        <v>0.89</v>
      </c>
      <c r="CT28">
        <f t="shared" si="26"/>
        <v>950.54</v>
      </c>
      <c r="CU28">
        <f t="shared" si="27"/>
        <v>0</v>
      </c>
      <c r="CV28">
        <f t="shared" si="28"/>
        <v>104.8</v>
      </c>
      <c r="CW28">
        <f t="shared" si="29"/>
        <v>0.1</v>
      </c>
      <c r="CX28">
        <f t="shared" si="30"/>
        <v>0</v>
      </c>
      <c r="CY28">
        <f t="shared" si="31"/>
        <v>597.7811</v>
      </c>
      <c r="CZ28">
        <f t="shared" si="32"/>
        <v>348.222</v>
      </c>
      <c r="DG28" t="s">
        <v>36</v>
      </c>
      <c r="DI28" t="s">
        <v>36</v>
      </c>
      <c r="DN28">
        <v>0</v>
      </c>
      <c r="DO28">
        <v>0</v>
      </c>
      <c r="DP28">
        <v>1</v>
      </c>
      <c r="DQ28">
        <v>1</v>
      </c>
      <c r="DR28">
        <v>1</v>
      </c>
      <c r="DS28">
        <v>1</v>
      </c>
      <c r="DT28">
        <v>1</v>
      </c>
      <c r="DU28">
        <v>1010</v>
      </c>
      <c r="DV28" t="s">
        <v>34</v>
      </c>
      <c r="DW28" t="s">
        <v>34</v>
      </c>
      <c r="DX28">
        <v>100</v>
      </c>
      <c r="EE28">
        <v>6135160</v>
      </c>
      <c r="EF28">
        <v>6</v>
      </c>
      <c r="EG28" t="s">
        <v>28</v>
      </c>
      <c r="EH28">
        <v>0</v>
      </c>
      <c r="EJ28">
        <v>1</v>
      </c>
      <c r="EK28">
        <v>226</v>
      </c>
      <c r="EL28" t="s">
        <v>29</v>
      </c>
      <c r="EM28" t="s">
        <v>30</v>
      </c>
      <c r="EP28" t="s">
        <v>50</v>
      </c>
      <c r="EQ28">
        <v>0</v>
      </c>
      <c r="ER28">
        <v>1400.97</v>
      </c>
      <c r="ES28">
        <v>922</v>
      </c>
      <c r="ET28">
        <v>3.7</v>
      </c>
      <c r="EU28">
        <v>0.89</v>
      </c>
      <c r="EV28">
        <v>475.27</v>
      </c>
      <c r="EW28">
        <v>52.4</v>
      </c>
      <c r="EX28">
        <v>0.1</v>
      </c>
    </row>
    <row r="29" spans="1:154" ht="12.75">
      <c r="A29">
        <v>17</v>
      </c>
      <c r="B29">
        <v>1</v>
      </c>
      <c r="E29" t="s">
        <v>51</v>
      </c>
      <c r="F29" t="s">
        <v>52</v>
      </c>
      <c r="G29" t="s">
        <v>53</v>
      </c>
      <c r="H29" t="s">
        <v>41</v>
      </c>
      <c r="I29">
        <v>-30</v>
      </c>
      <c r="J29">
        <v>0</v>
      </c>
      <c r="O29">
        <f t="shared" si="2"/>
        <v>-276.6</v>
      </c>
      <c r="P29">
        <f t="shared" si="3"/>
        <v>-276.6</v>
      </c>
      <c r="Q29">
        <f t="shared" si="4"/>
        <v>0</v>
      </c>
      <c r="R29">
        <f t="shared" si="5"/>
        <v>0</v>
      </c>
      <c r="S29">
        <f t="shared" si="6"/>
        <v>0</v>
      </c>
      <c r="T29">
        <f t="shared" si="7"/>
        <v>0</v>
      </c>
      <c r="U29">
        <f t="shared" si="8"/>
        <v>0</v>
      </c>
      <c r="V29">
        <f t="shared" si="9"/>
        <v>0</v>
      </c>
      <c r="W29">
        <f t="shared" si="10"/>
        <v>0</v>
      </c>
      <c r="X29">
        <f t="shared" si="11"/>
        <v>0</v>
      </c>
      <c r="Y29">
        <f t="shared" si="12"/>
        <v>0</v>
      </c>
      <c r="AA29">
        <v>0</v>
      </c>
      <c r="AB29">
        <f t="shared" si="13"/>
        <v>9.22</v>
      </c>
      <c r="AC29">
        <f t="shared" si="14"/>
        <v>9.22</v>
      </c>
      <c r="AD29">
        <f t="shared" si="15"/>
        <v>0</v>
      </c>
      <c r="AE29">
        <f t="shared" si="16"/>
        <v>0</v>
      </c>
      <c r="AF29">
        <f>(EV29)</f>
        <v>0</v>
      </c>
      <c r="AG29">
        <f t="shared" si="17"/>
        <v>0</v>
      </c>
      <c r="AH29">
        <f>(EW29)</f>
        <v>0</v>
      </c>
      <c r="AI29">
        <f t="shared" si="18"/>
        <v>0</v>
      </c>
      <c r="AJ29">
        <f t="shared" si="19"/>
        <v>0</v>
      </c>
      <c r="AK29">
        <v>9.22</v>
      </c>
      <c r="AL29">
        <v>9.22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f t="shared" si="20"/>
        <v>0</v>
      </c>
      <c r="AU29">
        <f t="shared" si="21"/>
        <v>0</v>
      </c>
      <c r="AV29">
        <v>1</v>
      </c>
      <c r="AW29">
        <v>1</v>
      </c>
      <c r="AX29">
        <v>1</v>
      </c>
      <c r="AY29">
        <v>1</v>
      </c>
      <c r="AZ29">
        <v>1</v>
      </c>
      <c r="BA29">
        <v>1</v>
      </c>
      <c r="BB29">
        <v>1</v>
      </c>
      <c r="BC29">
        <v>1</v>
      </c>
      <c r="BH29">
        <v>3</v>
      </c>
      <c r="BI29">
        <v>1</v>
      </c>
      <c r="BJ29" t="s">
        <v>54</v>
      </c>
      <c r="BM29">
        <v>1100</v>
      </c>
      <c r="BN29">
        <v>0</v>
      </c>
      <c r="BP29">
        <v>0</v>
      </c>
      <c r="BQ29">
        <v>8</v>
      </c>
      <c r="BR29">
        <v>0</v>
      </c>
      <c r="BS29">
        <v>1</v>
      </c>
      <c r="BT29">
        <v>1</v>
      </c>
      <c r="BU29">
        <v>1</v>
      </c>
      <c r="BV29">
        <v>1</v>
      </c>
      <c r="BW29">
        <v>1</v>
      </c>
      <c r="BX29">
        <v>1</v>
      </c>
      <c r="BZ29">
        <v>0</v>
      </c>
      <c r="CA29">
        <v>0</v>
      </c>
      <c r="CF29">
        <v>0</v>
      </c>
      <c r="CG29">
        <v>0</v>
      </c>
      <c r="CM29">
        <v>0</v>
      </c>
      <c r="CO29">
        <v>0</v>
      </c>
      <c r="CP29">
        <f t="shared" si="22"/>
        <v>-276.6</v>
      </c>
      <c r="CQ29">
        <f t="shared" si="23"/>
        <v>9.22</v>
      </c>
      <c r="CR29">
        <f t="shared" si="24"/>
        <v>0</v>
      </c>
      <c r="CS29">
        <f t="shared" si="25"/>
        <v>0</v>
      </c>
      <c r="CT29">
        <f t="shared" si="26"/>
        <v>0</v>
      </c>
      <c r="CU29">
        <f t="shared" si="27"/>
        <v>0</v>
      </c>
      <c r="CV29">
        <f t="shared" si="28"/>
        <v>0</v>
      </c>
      <c r="CW29">
        <f t="shared" si="29"/>
        <v>0</v>
      </c>
      <c r="CX29">
        <f t="shared" si="30"/>
        <v>0</v>
      </c>
      <c r="CY29">
        <f t="shared" si="31"/>
        <v>0</v>
      </c>
      <c r="CZ29">
        <f t="shared" si="32"/>
        <v>0</v>
      </c>
      <c r="DN29">
        <v>0</v>
      </c>
      <c r="DO29">
        <v>0</v>
      </c>
      <c r="DP29">
        <v>1</v>
      </c>
      <c r="DQ29">
        <v>1</v>
      </c>
      <c r="DR29">
        <v>1</v>
      </c>
      <c r="DS29">
        <v>1</v>
      </c>
      <c r="DT29">
        <v>1</v>
      </c>
      <c r="DU29">
        <v>1010</v>
      </c>
      <c r="DV29" t="s">
        <v>41</v>
      </c>
      <c r="DW29" t="s">
        <v>41</v>
      </c>
      <c r="DX29">
        <v>1</v>
      </c>
      <c r="EE29">
        <v>6135169</v>
      </c>
      <c r="EF29">
        <v>8</v>
      </c>
      <c r="EG29" t="s">
        <v>43</v>
      </c>
      <c r="EH29">
        <v>0</v>
      </c>
      <c r="EJ29">
        <v>1</v>
      </c>
      <c r="EK29">
        <v>1100</v>
      </c>
      <c r="EL29" t="s">
        <v>44</v>
      </c>
      <c r="EM29" t="s">
        <v>45</v>
      </c>
      <c r="EQ29">
        <v>0</v>
      </c>
      <c r="ER29">
        <v>9.22</v>
      </c>
      <c r="ES29">
        <v>9.22</v>
      </c>
      <c r="ET29">
        <v>0</v>
      </c>
      <c r="EU29">
        <v>0</v>
      </c>
      <c r="EV29">
        <v>0</v>
      </c>
      <c r="EW29">
        <v>0</v>
      </c>
      <c r="EX29">
        <v>0</v>
      </c>
    </row>
    <row r="30" spans="1:154" ht="12.75">
      <c r="A30">
        <v>17</v>
      </c>
      <c r="B30">
        <v>1</v>
      </c>
      <c r="E30" t="s">
        <v>55</v>
      </c>
      <c r="F30" t="s">
        <v>56</v>
      </c>
      <c r="G30" t="s">
        <v>57</v>
      </c>
      <c r="H30" t="s">
        <v>41</v>
      </c>
      <c r="I30">
        <v>10</v>
      </c>
      <c r="J30">
        <v>0</v>
      </c>
      <c r="O30">
        <f t="shared" si="2"/>
        <v>121.7</v>
      </c>
      <c r="P30">
        <f t="shared" si="3"/>
        <v>121.7</v>
      </c>
      <c r="Q30">
        <f t="shared" si="4"/>
        <v>0</v>
      </c>
      <c r="R30">
        <f t="shared" si="5"/>
        <v>0</v>
      </c>
      <c r="S30">
        <f t="shared" si="6"/>
        <v>0</v>
      </c>
      <c r="T30">
        <f t="shared" si="7"/>
        <v>0</v>
      </c>
      <c r="U30">
        <f t="shared" si="8"/>
        <v>0</v>
      </c>
      <c r="V30">
        <f t="shared" si="9"/>
        <v>0</v>
      </c>
      <c r="W30">
        <f t="shared" si="10"/>
        <v>0</v>
      </c>
      <c r="X30">
        <f t="shared" si="11"/>
        <v>0</v>
      </c>
      <c r="Y30">
        <f t="shared" si="12"/>
        <v>0</v>
      </c>
      <c r="AA30">
        <v>0</v>
      </c>
      <c r="AB30">
        <f t="shared" si="13"/>
        <v>12.17</v>
      </c>
      <c r="AC30">
        <f t="shared" si="14"/>
        <v>12.17</v>
      </c>
      <c r="AD30">
        <f t="shared" si="15"/>
        <v>0</v>
      </c>
      <c r="AE30">
        <f t="shared" si="16"/>
        <v>0</v>
      </c>
      <c r="AF30">
        <f>(EV30)</f>
        <v>0</v>
      </c>
      <c r="AG30">
        <f t="shared" si="17"/>
        <v>0</v>
      </c>
      <c r="AH30">
        <f>(EW30)</f>
        <v>0</v>
      </c>
      <c r="AI30">
        <f t="shared" si="18"/>
        <v>0</v>
      </c>
      <c r="AJ30">
        <f t="shared" si="19"/>
        <v>0</v>
      </c>
      <c r="AK30">
        <v>12.17</v>
      </c>
      <c r="AL30">
        <v>12.17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f t="shared" si="20"/>
        <v>0</v>
      </c>
      <c r="AU30">
        <f t="shared" si="21"/>
        <v>0</v>
      </c>
      <c r="AV30">
        <v>1</v>
      </c>
      <c r="AW30">
        <v>1</v>
      </c>
      <c r="AX30">
        <v>1</v>
      </c>
      <c r="AY30">
        <v>1</v>
      </c>
      <c r="AZ30">
        <v>1</v>
      </c>
      <c r="BA30">
        <v>1</v>
      </c>
      <c r="BB30">
        <v>1</v>
      </c>
      <c r="BC30">
        <v>1</v>
      </c>
      <c r="BH30">
        <v>3</v>
      </c>
      <c r="BI30">
        <v>1</v>
      </c>
      <c r="BJ30" t="s">
        <v>58</v>
      </c>
      <c r="BM30">
        <v>1100</v>
      </c>
      <c r="BN30">
        <v>0</v>
      </c>
      <c r="BP30">
        <v>0</v>
      </c>
      <c r="BQ30">
        <v>8</v>
      </c>
      <c r="BR30">
        <v>0</v>
      </c>
      <c r="BS30">
        <v>1</v>
      </c>
      <c r="BT30">
        <v>1</v>
      </c>
      <c r="BU30">
        <v>1</v>
      </c>
      <c r="BV30">
        <v>1</v>
      </c>
      <c r="BW30">
        <v>1</v>
      </c>
      <c r="BX30">
        <v>1</v>
      </c>
      <c r="BZ30">
        <v>0</v>
      </c>
      <c r="CA30">
        <v>0</v>
      </c>
      <c r="CF30">
        <v>0</v>
      </c>
      <c r="CG30">
        <v>0</v>
      </c>
      <c r="CM30">
        <v>0</v>
      </c>
      <c r="CO30">
        <v>0</v>
      </c>
      <c r="CP30">
        <f t="shared" si="22"/>
        <v>121.7</v>
      </c>
      <c r="CQ30">
        <f t="shared" si="23"/>
        <v>12.17</v>
      </c>
      <c r="CR30">
        <f t="shared" si="24"/>
        <v>0</v>
      </c>
      <c r="CS30">
        <f t="shared" si="25"/>
        <v>0</v>
      </c>
      <c r="CT30">
        <f t="shared" si="26"/>
        <v>0</v>
      </c>
      <c r="CU30">
        <f t="shared" si="27"/>
        <v>0</v>
      </c>
      <c r="CV30">
        <f t="shared" si="28"/>
        <v>0</v>
      </c>
      <c r="CW30">
        <f t="shared" si="29"/>
        <v>0</v>
      </c>
      <c r="CX30">
        <f t="shared" si="30"/>
        <v>0</v>
      </c>
      <c r="CY30">
        <f t="shared" si="31"/>
        <v>0</v>
      </c>
      <c r="CZ30">
        <f t="shared" si="32"/>
        <v>0</v>
      </c>
      <c r="DN30">
        <v>0</v>
      </c>
      <c r="DO30">
        <v>0</v>
      </c>
      <c r="DP30">
        <v>1</v>
      </c>
      <c r="DQ30">
        <v>1</v>
      </c>
      <c r="DR30">
        <v>1</v>
      </c>
      <c r="DS30">
        <v>1</v>
      </c>
      <c r="DT30">
        <v>1</v>
      </c>
      <c r="DU30">
        <v>1010</v>
      </c>
      <c r="DV30" t="s">
        <v>41</v>
      </c>
      <c r="DW30" t="s">
        <v>41</v>
      </c>
      <c r="DX30">
        <v>1</v>
      </c>
      <c r="EE30">
        <v>6135169</v>
      </c>
      <c r="EF30">
        <v>8</v>
      </c>
      <c r="EG30" t="s">
        <v>43</v>
      </c>
      <c r="EH30">
        <v>0</v>
      </c>
      <c r="EJ30">
        <v>1</v>
      </c>
      <c r="EK30">
        <v>1100</v>
      </c>
      <c r="EL30" t="s">
        <v>44</v>
      </c>
      <c r="EM30" t="s">
        <v>45</v>
      </c>
      <c r="EQ30">
        <v>0</v>
      </c>
      <c r="ER30">
        <v>12.17</v>
      </c>
      <c r="ES30">
        <v>12.17</v>
      </c>
      <c r="ET30">
        <v>0</v>
      </c>
      <c r="EU30">
        <v>0</v>
      </c>
      <c r="EV30">
        <v>0</v>
      </c>
      <c r="EW30">
        <v>0</v>
      </c>
      <c r="EX30">
        <v>0</v>
      </c>
    </row>
    <row r="31" spans="1:154" ht="12.75">
      <c r="A31">
        <v>17</v>
      </c>
      <c r="B31">
        <v>1</v>
      </c>
      <c r="C31">
        <f>ROW(SmtRes!A17)</f>
        <v>17</v>
      </c>
      <c r="D31">
        <f>ROW(EtalonRes!A19)</f>
        <v>19</v>
      </c>
      <c r="E31" t="s">
        <v>59</v>
      </c>
      <c r="F31" t="s">
        <v>60</v>
      </c>
      <c r="G31" t="s">
        <v>61</v>
      </c>
      <c r="H31" t="s">
        <v>34</v>
      </c>
      <c r="I31">
        <v>0.84</v>
      </c>
      <c r="J31">
        <v>0</v>
      </c>
      <c r="O31">
        <f t="shared" si="2"/>
        <v>2511.29</v>
      </c>
      <c r="P31">
        <f t="shared" si="3"/>
        <v>399.87</v>
      </c>
      <c r="Q31">
        <f t="shared" si="4"/>
        <v>0</v>
      </c>
      <c r="R31">
        <f t="shared" si="5"/>
        <v>0</v>
      </c>
      <c r="S31">
        <f t="shared" si="6"/>
        <v>2111.42</v>
      </c>
      <c r="T31">
        <f t="shared" si="7"/>
        <v>0</v>
      </c>
      <c r="U31">
        <f t="shared" si="8"/>
        <v>244.94</v>
      </c>
      <c r="V31">
        <f t="shared" si="9"/>
        <v>0</v>
      </c>
      <c r="W31">
        <f t="shared" si="10"/>
        <v>0</v>
      </c>
      <c r="X31">
        <f t="shared" si="11"/>
        <v>2174.76</v>
      </c>
      <c r="Y31">
        <f t="shared" si="12"/>
        <v>1266.85</v>
      </c>
      <c r="AA31">
        <v>0</v>
      </c>
      <c r="AB31">
        <f t="shared" si="13"/>
        <v>2989.62</v>
      </c>
      <c r="AC31">
        <f t="shared" si="14"/>
        <v>476.03</v>
      </c>
      <c r="AD31">
        <f t="shared" si="15"/>
        <v>0</v>
      </c>
      <c r="AE31">
        <f t="shared" si="16"/>
        <v>0</v>
      </c>
      <c r="AF31">
        <f>(EV31)</f>
        <v>2513.59</v>
      </c>
      <c r="AG31">
        <f t="shared" si="17"/>
        <v>0</v>
      </c>
      <c r="AH31">
        <f>(EW31)</f>
        <v>291.6</v>
      </c>
      <c r="AI31">
        <f t="shared" si="18"/>
        <v>0</v>
      </c>
      <c r="AJ31">
        <f t="shared" si="19"/>
        <v>0</v>
      </c>
      <c r="AK31">
        <v>2989.62</v>
      </c>
      <c r="AL31">
        <v>476.03</v>
      </c>
      <c r="AM31">
        <v>0</v>
      </c>
      <c r="AN31">
        <v>0</v>
      </c>
      <c r="AO31">
        <v>2513.59</v>
      </c>
      <c r="AP31">
        <v>0</v>
      </c>
      <c r="AQ31">
        <v>291.6</v>
      </c>
      <c r="AR31">
        <v>0</v>
      </c>
      <c r="AS31">
        <v>0</v>
      </c>
      <c r="AT31">
        <f t="shared" si="20"/>
        <v>103</v>
      </c>
      <c r="AU31">
        <f t="shared" si="21"/>
        <v>60</v>
      </c>
      <c r="AV31">
        <v>1</v>
      </c>
      <c r="AW31">
        <v>1</v>
      </c>
      <c r="AX31">
        <v>1</v>
      </c>
      <c r="AY31">
        <v>1</v>
      </c>
      <c r="AZ31">
        <v>1</v>
      </c>
      <c r="BA31">
        <v>1</v>
      </c>
      <c r="BB31">
        <v>1</v>
      </c>
      <c r="BC31">
        <v>1</v>
      </c>
      <c r="BH31">
        <v>0</v>
      </c>
      <c r="BI31">
        <v>1</v>
      </c>
      <c r="BJ31" t="s">
        <v>62</v>
      </c>
      <c r="BM31">
        <v>226</v>
      </c>
      <c r="BN31">
        <v>0</v>
      </c>
      <c r="BO31" t="s">
        <v>60</v>
      </c>
      <c r="BP31">
        <v>1</v>
      </c>
      <c r="BQ31">
        <v>6</v>
      </c>
      <c r="BR31">
        <v>0</v>
      </c>
      <c r="BS31">
        <v>1</v>
      </c>
      <c r="BT31">
        <v>1</v>
      </c>
      <c r="BU31">
        <v>1</v>
      </c>
      <c r="BV31">
        <v>1</v>
      </c>
      <c r="BW31">
        <v>1</v>
      </c>
      <c r="BX31">
        <v>1</v>
      </c>
      <c r="BZ31">
        <v>103</v>
      </c>
      <c r="CA31">
        <v>60</v>
      </c>
      <c r="CF31">
        <v>0</v>
      </c>
      <c r="CG31">
        <v>0</v>
      </c>
      <c r="CM31">
        <v>0</v>
      </c>
      <c r="CO31">
        <v>0</v>
      </c>
      <c r="CP31">
        <f t="shared" si="22"/>
        <v>2511.29</v>
      </c>
      <c r="CQ31">
        <f t="shared" si="23"/>
        <v>476.03</v>
      </c>
      <c r="CR31">
        <f t="shared" si="24"/>
        <v>0</v>
      </c>
      <c r="CS31">
        <f t="shared" si="25"/>
        <v>0</v>
      </c>
      <c r="CT31">
        <f t="shared" si="26"/>
        <v>2513.59</v>
      </c>
      <c r="CU31">
        <f t="shared" si="27"/>
        <v>0</v>
      </c>
      <c r="CV31">
        <f t="shared" si="28"/>
        <v>291.6</v>
      </c>
      <c r="CW31">
        <f t="shared" si="29"/>
        <v>0</v>
      </c>
      <c r="CX31">
        <f t="shared" si="30"/>
        <v>0</v>
      </c>
      <c r="CY31">
        <f t="shared" si="31"/>
        <v>2174.7626</v>
      </c>
      <c r="CZ31">
        <f t="shared" si="32"/>
        <v>1266.852</v>
      </c>
      <c r="DN31">
        <v>0</v>
      </c>
      <c r="DO31">
        <v>0</v>
      </c>
      <c r="DP31">
        <v>1</v>
      </c>
      <c r="DQ31">
        <v>1</v>
      </c>
      <c r="DR31">
        <v>1</v>
      </c>
      <c r="DS31">
        <v>1</v>
      </c>
      <c r="DT31">
        <v>1</v>
      </c>
      <c r="DU31">
        <v>1010</v>
      </c>
      <c r="DV31" t="s">
        <v>34</v>
      </c>
      <c r="DW31" t="s">
        <v>63</v>
      </c>
      <c r="DX31">
        <v>100</v>
      </c>
      <c r="EE31">
        <v>6135160</v>
      </c>
      <c r="EF31">
        <v>6</v>
      </c>
      <c r="EG31" t="s">
        <v>28</v>
      </c>
      <c r="EH31">
        <v>0</v>
      </c>
      <c r="EJ31">
        <v>1</v>
      </c>
      <c r="EK31">
        <v>226</v>
      </c>
      <c r="EL31" t="s">
        <v>29</v>
      </c>
      <c r="EM31" t="s">
        <v>30</v>
      </c>
      <c r="EP31" t="s">
        <v>64</v>
      </c>
      <c r="EQ31">
        <v>0</v>
      </c>
      <c r="ER31">
        <v>2989.62</v>
      </c>
      <c r="ES31">
        <v>476.03</v>
      </c>
      <c r="ET31">
        <v>0</v>
      </c>
      <c r="EU31">
        <v>0</v>
      </c>
      <c r="EV31">
        <v>2513.59</v>
      </c>
      <c r="EW31">
        <v>291.6</v>
      </c>
      <c r="EX31">
        <v>0</v>
      </c>
    </row>
    <row r="32" spans="1:154" ht="12.75">
      <c r="A32">
        <v>17</v>
      </c>
      <c r="B32">
        <v>1</v>
      </c>
      <c r="C32">
        <f>ROW(SmtRes!A18)</f>
        <v>18</v>
      </c>
      <c r="D32">
        <f>ROW(EtalonRes!A20)</f>
        <v>20</v>
      </c>
      <c r="E32" t="s">
        <v>65</v>
      </c>
      <c r="F32" t="s">
        <v>66</v>
      </c>
      <c r="G32" t="s">
        <v>67</v>
      </c>
      <c r="H32" t="s">
        <v>34</v>
      </c>
      <c r="I32">
        <v>0.31</v>
      </c>
      <c r="J32">
        <v>0</v>
      </c>
      <c r="O32">
        <f t="shared" si="2"/>
        <v>62.6</v>
      </c>
      <c r="P32">
        <f t="shared" si="3"/>
        <v>0</v>
      </c>
      <c r="Q32">
        <f t="shared" si="4"/>
        <v>0</v>
      </c>
      <c r="R32">
        <f t="shared" si="5"/>
        <v>0</v>
      </c>
      <c r="S32">
        <f t="shared" si="6"/>
        <v>62.6</v>
      </c>
      <c r="T32">
        <f t="shared" si="7"/>
        <v>0</v>
      </c>
      <c r="U32">
        <f t="shared" si="8"/>
        <v>7.35</v>
      </c>
      <c r="V32">
        <f t="shared" si="9"/>
        <v>0</v>
      </c>
      <c r="W32">
        <f t="shared" si="10"/>
        <v>0</v>
      </c>
      <c r="X32">
        <f t="shared" si="11"/>
        <v>64.48</v>
      </c>
      <c r="Y32">
        <f t="shared" si="12"/>
        <v>37.56</v>
      </c>
      <c r="AA32">
        <v>0</v>
      </c>
      <c r="AB32">
        <f t="shared" si="13"/>
        <v>201.92</v>
      </c>
      <c r="AC32">
        <f t="shared" si="14"/>
        <v>0</v>
      </c>
      <c r="AD32">
        <f t="shared" si="15"/>
        <v>0</v>
      </c>
      <c r="AE32">
        <f t="shared" si="16"/>
        <v>0</v>
      </c>
      <c r="AF32">
        <f>(EV32)</f>
        <v>201.92</v>
      </c>
      <c r="AG32">
        <f t="shared" si="17"/>
        <v>0</v>
      </c>
      <c r="AH32">
        <f>(EW32)</f>
        <v>23.7</v>
      </c>
      <c r="AI32">
        <f t="shared" si="18"/>
        <v>0</v>
      </c>
      <c r="AJ32">
        <f t="shared" si="19"/>
        <v>0</v>
      </c>
      <c r="AK32">
        <v>201.92</v>
      </c>
      <c r="AL32">
        <v>0</v>
      </c>
      <c r="AM32">
        <v>0</v>
      </c>
      <c r="AN32">
        <v>0</v>
      </c>
      <c r="AO32">
        <v>201.92</v>
      </c>
      <c r="AP32">
        <v>0</v>
      </c>
      <c r="AQ32">
        <v>23.7</v>
      </c>
      <c r="AR32">
        <v>0</v>
      </c>
      <c r="AS32">
        <v>0</v>
      </c>
      <c r="AT32">
        <f t="shared" si="20"/>
        <v>103</v>
      </c>
      <c r="AU32">
        <f t="shared" si="21"/>
        <v>60</v>
      </c>
      <c r="AV32">
        <v>1</v>
      </c>
      <c r="AW32">
        <v>1</v>
      </c>
      <c r="AX32">
        <v>1</v>
      </c>
      <c r="AY32">
        <v>1</v>
      </c>
      <c r="AZ32">
        <v>1</v>
      </c>
      <c r="BA32">
        <v>1</v>
      </c>
      <c r="BB32">
        <v>1</v>
      </c>
      <c r="BC32">
        <v>1</v>
      </c>
      <c r="BH32">
        <v>0</v>
      </c>
      <c r="BI32">
        <v>1</v>
      </c>
      <c r="BJ32" t="s">
        <v>68</v>
      </c>
      <c r="BM32">
        <v>226</v>
      </c>
      <c r="BN32">
        <v>0</v>
      </c>
      <c r="BO32" t="s">
        <v>66</v>
      </c>
      <c r="BP32">
        <v>1</v>
      </c>
      <c r="BQ32">
        <v>6</v>
      </c>
      <c r="BR32">
        <v>0</v>
      </c>
      <c r="BS32">
        <v>1</v>
      </c>
      <c r="BT32">
        <v>1</v>
      </c>
      <c r="BU32">
        <v>1</v>
      </c>
      <c r="BV32">
        <v>1</v>
      </c>
      <c r="BW32">
        <v>1</v>
      </c>
      <c r="BX32">
        <v>1</v>
      </c>
      <c r="BZ32">
        <v>103</v>
      </c>
      <c r="CA32">
        <v>60</v>
      </c>
      <c r="CF32">
        <v>0</v>
      </c>
      <c r="CG32">
        <v>0</v>
      </c>
      <c r="CM32">
        <v>0</v>
      </c>
      <c r="CO32">
        <v>0</v>
      </c>
      <c r="CP32">
        <f t="shared" si="22"/>
        <v>62.6</v>
      </c>
      <c r="CQ32">
        <f t="shared" si="23"/>
        <v>0</v>
      </c>
      <c r="CR32">
        <f t="shared" si="24"/>
        <v>0</v>
      </c>
      <c r="CS32">
        <f t="shared" si="25"/>
        <v>0</v>
      </c>
      <c r="CT32">
        <f t="shared" si="26"/>
        <v>201.92</v>
      </c>
      <c r="CU32">
        <f t="shared" si="27"/>
        <v>0</v>
      </c>
      <c r="CV32">
        <f t="shared" si="28"/>
        <v>23.7</v>
      </c>
      <c r="CW32">
        <f t="shared" si="29"/>
        <v>0</v>
      </c>
      <c r="CX32">
        <f t="shared" si="30"/>
        <v>0</v>
      </c>
      <c r="CY32">
        <f t="shared" si="31"/>
        <v>64.47800000000001</v>
      </c>
      <c r="CZ32">
        <f t="shared" si="32"/>
        <v>37.56</v>
      </c>
      <c r="DN32">
        <v>0</v>
      </c>
      <c r="DO32">
        <v>0</v>
      </c>
      <c r="DP32">
        <v>1</v>
      </c>
      <c r="DQ32">
        <v>1</v>
      </c>
      <c r="DR32">
        <v>1</v>
      </c>
      <c r="DS32">
        <v>1</v>
      </c>
      <c r="DT32">
        <v>1</v>
      </c>
      <c r="DU32">
        <v>1010</v>
      </c>
      <c r="DV32" t="s">
        <v>34</v>
      </c>
      <c r="DW32" t="s">
        <v>63</v>
      </c>
      <c r="DX32">
        <v>100</v>
      </c>
      <c r="EE32">
        <v>6135160</v>
      </c>
      <c r="EF32">
        <v>6</v>
      </c>
      <c r="EG32" t="s">
        <v>28</v>
      </c>
      <c r="EH32">
        <v>0</v>
      </c>
      <c r="EJ32">
        <v>1</v>
      </c>
      <c r="EK32">
        <v>226</v>
      </c>
      <c r="EL32" t="s">
        <v>29</v>
      </c>
      <c r="EM32" t="s">
        <v>30</v>
      </c>
      <c r="EP32" t="s">
        <v>187</v>
      </c>
      <c r="EQ32">
        <v>0</v>
      </c>
      <c r="ER32">
        <v>201.92</v>
      </c>
      <c r="ES32">
        <v>0</v>
      </c>
      <c r="ET32">
        <v>0</v>
      </c>
      <c r="EU32">
        <v>0</v>
      </c>
      <c r="EV32">
        <v>201.92</v>
      </c>
      <c r="EW32">
        <v>23.7</v>
      </c>
      <c r="EX32">
        <v>0</v>
      </c>
    </row>
    <row r="33" spans="1:154" ht="12.75">
      <c r="A33">
        <v>17</v>
      </c>
      <c r="B33">
        <v>1</v>
      </c>
      <c r="E33" t="s">
        <v>69</v>
      </c>
      <c r="F33" t="s">
        <v>70</v>
      </c>
      <c r="G33" t="s">
        <v>71</v>
      </c>
      <c r="H33" t="s">
        <v>72</v>
      </c>
      <c r="I33">
        <v>100</v>
      </c>
      <c r="J33">
        <v>0</v>
      </c>
      <c r="O33">
        <f t="shared" si="2"/>
        <v>1527</v>
      </c>
      <c r="P33">
        <f t="shared" si="3"/>
        <v>1527</v>
      </c>
      <c r="Q33">
        <f t="shared" si="4"/>
        <v>0</v>
      </c>
      <c r="R33">
        <f t="shared" si="5"/>
        <v>0</v>
      </c>
      <c r="S33">
        <f t="shared" si="6"/>
        <v>0</v>
      </c>
      <c r="T33">
        <f t="shared" si="7"/>
        <v>0</v>
      </c>
      <c r="U33">
        <f t="shared" si="8"/>
        <v>0</v>
      </c>
      <c r="V33">
        <f t="shared" si="9"/>
        <v>0</v>
      </c>
      <c r="W33">
        <f t="shared" si="10"/>
        <v>0</v>
      </c>
      <c r="X33">
        <f t="shared" si="11"/>
        <v>0</v>
      </c>
      <c r="Y33">
        <f t="shared" si="12"/>
        <v>0</v>
      </c>
      <c r="AA33">
        <v>0</v>
      </c>
      <c r="AB33">
        <v>15.27</v>
      </c>
      <c r="AC33">
        <v>15.27</v>
      </c>
      <c r="AD33">
        <f>(ET33)</f>
        <v>0</v>
      </c>
      <c r="AE33">
        <f>(EU33)</f>
        <v>0</v>
      </c>
      <c r="AF33">
        <f>(EV33)</f>
        <v>0</v>
      </c>
      <c r="AG33">
        <f t="shared" si="17"/>
        <v>0</v>
      </c>
      <c r="AH33">
        <f>(EW33)</f>
        <v>0</v>
      </c>
      <c r="AI33">
        <f t="shared" si="18"/>
        <v>0</v>
      </c>
      <c r="AJ33">
        <f t="shared" si="19"/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f t="shared" si="20"/>
        <v>112</v>
      </c>
      <c r="AU33">
        <f t="shared" si="21"/>
        <v>65</v>
      </c>
      <c r="AV33">
        <v>1</v>
      </c>
      <c r="AW33">
        <v>1</v>
      </c>
      <c r="AX33">
        <v>1</v>
      </c>
      <c r="AY33">
        <v>1</v>
      </c>
      <c r="AZ33">
        <v>1</v>
      </c>
      <c r="BA33">
        <v>1</v>
      </c>
      <c r="BB33">
        <v>1</v>
      </c>
      <c r="BC33">
        <v>1</v>
      </c>
      <c r="BH33">
        <v>3</v>
      </c>
      <c r="BI33">
        <v>4</v>
      </c>
      <c r="BM33">
        <v>0</v>
      </c>
      <c r="BN33">
        <v>0</v>
      </c>
      <c r="BP33">
        <v>0</v>
      </c>
      <c r="BQ33">
        <v>1</v>
      </c>
      <c r="BR33">
        <v>0</v>
      </c>
      <c r="BS33">
        <v>1</v>
      </c>
      <c r="BT33">
        <v>1</v>
      </c>
      <c r="BU33">
        <v>1</v>
      </c>
      <c r="BV33">
        <v>1</v>
      </c>
      <c r="BW33">
        <v>1</v>
      </c>
      <c r="BX33">
        <v>1</v>
      </c>
      <c r="BZ33">
        <v>112</v>
      </c>
      <c r="CA33">
        <v>65</v>
      </c>
      <c r="CF33">
        <v>0</v>
      </c>
      <c r="CG33">
        <v>0</v>
      </c>
      <c r="CM33">
        <v>0</v>
      </c>
      <c r="CO33">
        <v>0</v>
      </c>
      <c r="CP33">
        <f t="shared" si="22"/>
        <v>1527</v>
      </c>
      <c r="CQ33">
        <f t="shared" si="23"/>
        <v>15.27</v>
      </c>
      <c r="CR33">
        <f t="shared" si="24"/>
        <v>0</v>
      </c>
      <c r="CS33">
        <f t="shared" si="25"/>
        <v>0</v>
      </c>
      <c r="CT33">
        <f t="shared" si="26"/>
        <v>0</v>
      </c>
      <c r="CU33">
        <f t="shared" si="27"/>
        <v>0</v>
      </c>
      <c r="CV33">
        <f t="shared" si="28"/>
        <v>0</v>
      </c>
      <c r="CW33">
        <f t="shared" si="29"/>
        <v>0</v>
      </c>
      <c r="CX33">
        <f t="shared" si="30"/>
        <v>0</v>
      </c>
      <c r="CY33">
        <f t="shared" si="31"/>
        <v>0</v>
      </c>
      <c r="CZ33">
        <f t="shared" si="32"/>
        <v>0</v>
      </c>
      <c r="DD33" t="s">
        <v>73</v>
      </c>
      <c r="DN33">
        <v>0</v>
      </c>
      <c r="DO33">
        <v>0</v>
      </c>
      <c r="DP33">
        <v>1</v>
      </c>
      <c r="DQ33">
        <v>1</v>
      </c>
      <c r="DR33">
        <v>1</v>
      </c>
      <c r="DS33">
        <v>1</v>
      </c>
      <c r="DT33">
        <v>1</v>
      </c>
      <c r="DU33">
        <v>1002</v>
      </c>
      <c r="DV33" t="s">
        <v>72</v>
      </c>
      <c r="DW33" t="s">
        <v>72</v>
      </c>
      <c r="DX33">
        <v>1</v>
      </c>
      <c r="EE33">
        <v>6135073</v>
      </c>
      <c r="EF33">
        <v>1</v>
      </c>
      <c r="EG33" t="s">
        <v>74</v>
      </c>
      <c r="EH33">
        <v>0</v>
      </c>
      <c r="EJ33">
        <v>4</v>
      </c>
      <c r="EK33">
        <v>0</v>
      </c>
      <c r="EL33" t="s">
        <v>74</v>
      </c>
      <c r="EM33" t="s">
        <v>75</v>
      </c>
      <c r="EQ33">
        <v>0</v>
      </c>
      <c r="ER33">
        <v>0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0</v>
      </c>
    </row>
    <row r="35" spans="1:39" ht="12.75">
      <c r="A35" s="2">
        <v>51</v>
      </c>
      <c r="B35" s="2">
        <f>B20</f>
        <v>1</v>
      </c>
      <c r="C35" s="2">
        <f>A20</f>
        <v>3</v>
      </c>
      <c r="D35" s="2">
        <f>ROW(A20)</f>
        <v>20</v>
      </c>
      <c r="E35" s="2"/>
      <c r="F35" s="2" t="str">
        <f>IF(F20&lt;&gt;"",F20,"")</f>
        <v>Новая локальная смета</v>
      </c>
      <c r="G35" s="2" t="str">
        <f>IF(G20&lt;&gt;"",G20,"")</f>
        <v>по промывке  и прочистке отпительных приборов</v>
      </c>
      <c r="H35" s="2"/>
      <c r="I35" s="2"/>
      <c r="J35" s="2"/>
      <c r="K35" s="2"/>
      <c r="L35" s="2"/>
      <c r="M35" s="2"/>
      <c r="N35" s="2"/>
      <c r="O35" s="2">
        <f aca="true" t="shared" si="33" ref="O35:Y35">ROUND(AB35,2)</f>
        <v>7243.21</v>
      </c>
      <c r="P35" s="2">
        <f t="shared" si="33"/>
        <v>3159.44</v>
      </c>
      <c r="Q35" s="2">
        <f t="shared" si="33"/>
        <v>2.26</v>
      </c>
      <c r="R35" s="2">
        <f t="shared" si="33"/>
        <v>0.54</v>
      </c>
      <c r="S35" s="2">
        <f t="shared" si="33"/>
        <v>4081.51</v>
      </c>
      <c r="T35" s="2">
        <f t="shared" si="33"/>
        <v>0</v>
      </c>
      <c r="U35" s="2">
        <f t="shared" si="33"/>
        <v>454.45</v>
      </c>
      <c r="V35" s="2">
        <f t="shared" si="33"/>
        <v>0.06</v>
      </c>
      <c r="W35" s="2">
        <f t="shared" si="33"/>
        <v>0</v>
      </c>
      <c r="X35" s="2">
        <f t="shared" si="33"/>
        <v>4064.91</v>
      </c>
      <c r="Y35" s="2">
        <f t="shared" si="33"/>
        <v>2375.75</v>
      </c>
      <c r="Z35" s="2"/>
      <c r="AA35" s="2"/>
      <c r="AB35" s="2">
        <f>ROUND(SUMIF(AA24:AA33,"=0",O24:O33),2)</f>
        <v>7243.21</v>
      </c>
      <c r="AC35" s="2">
        <f>ROUND(SUMIF(AA24:AA33,"=0",P24:P33),2)</f>
        <v>3159.44</v>
      </c>
      <c r="AD35" s="2">
        <f>ROUND(SUMIF(AA24:AA33,"=0",Q24:Q33),2)</f>
        <v>2.26</v>
      </c>
      <c r="AE35" s="2">
        <f>ROUND(SUMIF(AA24:AA33,"=0",R24:R33),2)</f>
        <v>0.54</v>
      </c>
      <c r="AF35" s="2">
        <f>ROUND(SUMIF(AA24:AA33,"=0",S24:S33),2)</f>
        <v>4081.51</v>
      </c>
      <c r="AG35" s="2">
        <f>ROUND(SUMIF(AA24:AA33,"=0",T24:T33),2)</f>
        <v>0</v>
      </c>
      <c r="AH35" s="2">
        <f>ROUND(SUMIF(AA24:AA33,"=0",U24:U33),2)</f>
        <v>454.45</v>
      </c>
      <c r="AI35" s="2">
        <f>ROUND(SUMIF(AA24:AA33,"=0",V24:V33),2)</f>
        <v>0.06</v>
      </c>
      <c r="AJ35" s="2">
        <f>ROUND(SUMIF(AA24:AA33,"=0",W24:W33),2)</f>
        <v>0</v>
      </c>
      <c r="AK35" s="2">
        <f>ROUND(SUMIF(AA24:AA33,"=0",X24:X33),2)</f>
        <v>4064.91</v>
      </c>
      <c r="AL35" s="2">
        <f>ROUND(SUMIF(AA24:AA33,"=0",Y24:Y33),2)</f>
        <v>2375.75</v>
      </c>
      <c r="AM35" s="2">
        <v>0</v>
      </c>
    </row>
    <row r="37" spans="1:14" ht="12.75">
      <c r="A37" s="3">
        <v>50</v>
      </c>
      <c r="B37" s="3">
        <v>0</v>
      </c>
      <c r="C37" s="3">
        <v>0</v>
      </c>
      <c r="D37" s="3">
        <v>1</v>
      </c>
      <c r="E37" s="3">
        <v>0</v>
      </c>
      <c r="F37" s="3">
        <f>Source!O35</f>
        <v>7243.21</v>
      </c>
      <c r="G37" s="3" t="s">
        <v>76</v>
      </c>
      <c r="H37" s="3" t="s">
        <v>77</v>
      </c>
      <c r="I37" s="3"/>
      <c r="J37" s="3"/>
      <c r="K37" s="3">
        <v>201</v>
      </c>
      <c r="L37" s="3">
        <v>1</v>
      </c>
      <c r="M37" s="3">
        <v>3</v>
      </c>
      <c r="N37" s="3" t="s">
        <v>3</v>
      </c>
    </row>
    <row r="38" spans="1:14" ht="12.75">
      <c r="A38" s="3">
        <v>50</v>
      </c>
      <c r="B38" s="3">
        <v>0</v>
      </c>
      <c r="C38" s="3">
        <v>0</v>
      </c>
      <c r="D38" s="3">
        <v>1</v>
      </c>
      <c r="E38" s="3">
        <v>0</v>
      </c>
      <c r="F38" s="3">
        <f>Source!P35</f>
        <v>3159.44</v>
      </c>
      <c r="G38" s="3" t="s">
        <v>78</v>
      </c>
      <c r="H38" s="3" t="s">
        <v>79</v>
      </c>
      <c r="I38" s="3"/>
      <c r="J38" s="3"/>
      <c r="K38" s="3">
        <v>202</v>
      </c>
      <c r="L38" s="3">
        <v>2</v>
      </c>
      <c r="M38" s="3">
        <v>3</v>
      </c>
      <c r="N38" s="3" t="s">
        <v>3</v>
      </c>
    </row>
    <row r="39" spans="1:14" ht="12.75">
      <c r="A39" s="3">
        <v>50</v>
      </c>
      <c r="B39" s="3">
        <v>0</v>
      </c>
      <c r="C39" s="3">
        <v>0</v>
      </c>
      <c r="D39" s="3">
        <v>1</v>
      </c>
      <c r="E39" s="3">
        <v>0</v>
      </c>
      <c r="F39" s="3">
        <f>Source!Q35</f>
        <v>2.26</v>
      </c>
      <c r="G39" s="3" t="s">
        <v>80</v>
      </c>
      <c r="H39" s="3" t="s">
        <v>81</v>
      </c>
      <c r="I39" s="3"/>
      <c r="J39" s="3"/>
      <c r="K39" s="3">
        <v>203</v>
      </c>
      <c r="L39" s="3">
        <v>3</v>
      </c>
      <c r="M39" s="3">
        <v>3</v>
      </c>
      <c r="N39" s="3" t="s">
        <v>3</v>
      </c>
    </row>
    <row r="40" spans="1:14" ht="12.75">
      <c r="A40" s="3">
        <v>50</v>
      </c>
      <c r="B40" s="3">
        <v>0</v>
      </c>
      <c r="C40" s="3">
        <v>0</v>
      </c>
      <c r="D40" s="3">
        <v>1</v>
      </c>
      <c r="E40" s="3">
        <v>0</v>
      </c>
      <c r="F40" s="3">
        <f>Source!R35</f>
        <v>0.54</v>
      </c>
      <c r="G40" s="3" t="s">
        <v>82</v>
      </c>
      <c r="H40" s="3" t="s">
        <v>83</v>
      </c>
      <c r="I40" s="3"/>
      <c r="J40" s="3"/>
      <c r="K40" s="3">
        <v>204</v>
      </c>
      <c r="L40" s="3">
        <v>4</v>
      </c>
      <c r="M40" s="3">
        <v>3</v>
      </c>
      <c r="N40" s="3" t="s">
        <v>3</v>
      </c>
    </row>
    <row r="41" spans="1:14" ht="12.75">
      <c r="A41" s="3">
        <v>50</v>
      </c>
      <c r="B41" s="3">
        <v>0</v>
      </c>
      <c r="C41" s="3">
        <v>0</v>
      </c>
      <c r="D41" s="3">
        <v>1</v>
      </c>
      <c r="E41" s="3">
        <v>0</v>
      </c>
      <c r="F41" s="3">
        <f>Source!S35</f>
        <v>4081.51</v>
      </c>
      <c r="G41" s="3" t="s">
        <v>84</v>
      </c>
      <c r="H41" s="3" t="s">
        <v>85</v>
      </c>
      <c r="I41" s="3"/>
      <c r="J41" s="3"/>
      <c r="K41" s="3">
        <v>205</v>
      </c>
      <c r="L41" s="3">
        <v>5</v>
      </c>
      <c r="M41" s="3">
        <v>3</v>
      </c>
      <c r="N41" s="3" t="s">
        <v>3</v>
      </c>
    </row>
    <row r="42" spans="1:14" ht="12.75">
      <c r="A42" s="3">
        <v>50</v>
      </c>
      <c r="B42" s="3">
        <v>0</v>
      </c>
      <c r="C42" s="3">
        <v>0</v>
      </c>
      <c r="D42" s="3">
        <v>1</v>
      </c>
      <c r="E42" s="3">
        <v>206</v>
      </c>
      <c r="F42" s="3">
        <f>Source!T35</f>
        <v>0</v>
      </c>
      <c r="G42" s="3" t="s">
        <v>86</v>
      </c>
      <c r="H42" s="3" t="s">
        <v>87</v>
      </c>
      <c r="I42" s="3"/>
      <c r="J42" s="3"/>
      <c r="K42" s="3">
        <v>206</v>
      </c>
      <c r="L42" s="3">
        <v>6</v>
      </c>
      <c r="M42" s="3">
        <v>3</v>
      </c>
      <c r="N42" s="3" t="s">
        <v>3</v>
      </c>
    </row>
    <row r="43" spans="1:14" ht="12.75">
      <c r="A43" s="3">
        <v>50</v>
      </c>
      <c r="B43" s="3">
        <v>0</v>
      </c>
      <c r="C43" s="3">
        <v>0</v>
      </c>
      <c r="D43" s="3">
        <v>1</v>
      </c>
      <c r="E43" s="3">
        <v>207</v>
      </c>
      <c r="F43" s="3">
        <f>Source!U35</f>
        <v>454.45</v>
      </c>
      <c r="G43" s="3" t="s">
        <v>88</v>
      </c>
      <c r="H43" s="3" t="s">
        <v>89</v>
      </c>
      <c r="I43" s="3"/>
      <c r="J43" s="3"/>
      <c r="K43" s="3">
        <v>207</v>
      </c>
      <c r="L43" s="3">
        <v>7</v>
      </c>
      <c r="M43" s="3">
        <v>3</v>
      </c>
      <c r="N43" s="3" t="s">
        <v>3</v>
      </c>
    </row>
    <row r="44" spans="1:14" ht="12.75">
      <c r="A44" s="3">
        <v>50</v>
      </c>
      <c r="B44" s="3">
        <v>0</v>
      </c>
      <c r="C44" s="3">
        <v>0</v>
      </c>
      <c r="D44" s="3">
        <v>1</v>
      </c>
      <c r="E44" s="3">
        <v>208</v>
      </c>
      <c r="F44" s="3">
        <f>Source!V35</f>
        <v>0.06</v>
      </c>
      <c r="G44" s="3" t="s">
        <v>90</v>
      </c>
      <c r="H44" s="3" t="s">
        <v>91</v>
      </c>
      <c r="I44" s="3"/>
      <c r="J44" s="3"/>
      <c r="K44" s="3">
        <v>208</v>
      </c>
      <c r="L44" s="3">
        <v>8</v>
      </c>
      <c r="M44" s="3">
        <v>3</v>
      </c>
      <c r="N44" s="3" t="s">
        <v>3</v>
      </c>
    </row>
    <row r="45" spans="1:14" ht="12.75">
      <c r="A45" s="3">
        <v>50</v>
      </c>
      <c r="B45" s="3">
        <v>0</v>
      </c>
      <c r="C45" s="3">
        <v>0</v>
      </c>
      <c r="D45" s="3">
        <v>1</v>
      </c>
      <c r="E45" s="3">
        <v>209</v>
      </c>
      <c r="F45" s="3">
        <f>Source!W35</f>
        <v>0</v>
      </c>
      <c r="G45" s="3" t="s">
        <v>92</v>
      </c>
      <c r="H45" s="3" t="s">
        <v>93</v>
      </c>
      <c r="I45" s="3"/>
      <c r="J45" s="3"/>
      <c r="K45" s="3">
        <v>209</v>
      </c>
      <c r="L45" s="3">
        <v>9</v>
      </c>
      <c r="M45" s="3">
        <v>3</v>
      </c>
      <c r="N45" s="3" t="s">
        <v>3</v>
      </c>
    </row>
    <row r="46" spans="1:14" ht="12.75">
      <c r="A46" s="3">
        <v>50</v>
      </c>
      <c r="B46" s="3">
        <v>0</v>
      </c>
      <c r="C46" s="3">
        <v>0</v>
      </c>
      <c r="D46" s="3">
        <v>1</v>
      </c>
      <c r="E46" s="3">
        <v>0</v>
      </c>
      <c r="F46" s="3">
        <f>Source!X35</f>
        <v>4064.91</v>
      </c>
      <c r="G46" s="3" t="s">
        <v>94</v>
      </c>
      <c r="H46" s="3" t="s">
        <v>95</v>
      </c>
      <c r="I46" s="3"/>
      <c r="J46" s="3"/>
      <c r="K46" s="3">
        <v>210</v>
      </c>
      <c r="L46" s="3">
        <v>10</v>
      </c>
      <c r="M46" s="3">
        <v>3</v>
      </c>
      <c r="N46" s="3" t="s">
        <v>3</v>
      </c>
    </row>
    <row r="47" spans="1:14" ht="12.75">
      <c r="A47" s="3">
        <v>50</v>
      </c>
      <c r="B47" s="3">
        <v>0</v>
      </c>
      <c r="C47" s="3">
        <v>0</v>
      </c>
      <c r="D47" s="3">
        <v>1</v>
      </c>
      <c r="E47" s="3">
        <v>0</v>
      </c>
      <c r="F47" s="3">
        <f>Source!Y35</f>
        <v>2375.75</v>
      </c>
      <c r="G47" s="3" t="s">
        <v>96</v>
      </c>
      <c r="H47" s="3" t="s">
        <v>97</v>
      </c>
      <c r="I47" s="3"/>
      <c r="J47" s="3"/>
      <c r="K47" s="3">
        <v>211</v>
      </c>
      <c r="L47" s="3">
        <v>11</v>
      </c>
      <c r="M47" s="3">
        <v>3</v>
      </c>
      <c r="N47" s="3" t="s">
        <v>3</v>
      </c>
    </row>
    <row r="48" spans="1:14" ht="12.75">
      <c r="A48" s="3">
        <v>50</v>
      </c>
      <c r="B48" s="3">
        <f>IF(Source!F48&lt;&gt;0,1,0)</f>
        <v>1</v>
      </c>
      <c r="C48" s="3">
        <v>0</v>
      </c>
      <c r="D48" s="3">
        <v>2</v>
      </c>
      <c r="E48" s="3">
        <v>0</v>
      </c>
      <c r="F48" s="3">
        <v>2.98</v>
      </c>
      <c r="G48" s="3" t="s">
        <v>98</v>
      </c>
      <c r="H48" s="3" t="s">
        <v>99</v>
      </c>
      <c r="I48" s="3"/>
      <c r="J48" s="3"/>
      <c r="K48" s="3">
        <v>212</v>
      </c>
      <c r="L48" s="3">
        <v>12</v>
      </c>
      <c r="M48" s="3">
        <v>1</v>
      </c>
      <c r="N48" s="3" t="s">
        <v>3</v>
      </c>
    </row>
    <row r="49" spans="1:14" ht="12.75">
      <c r="A49" s="3">
        <v>50</v>
      </c>
      <c r="B49" s="3">
        <f>IF(Source!F49&lt;&gt;0,1,0)</f>
        <v>1</v>
      </c>
      <c r="C49" s="3">
        <v>0</v>
      </c>
      <c r="D49" s="3">
        <v>2</v>
      </c>
      <c r="E49" s="3">
        <v>0</v>
      </c>
      <c r="F49" s="3">
        <v>3.69</v>
      </c>
      <c r="G49" s="3" t="s">
        <v>100</v>
      </c>
      <c r="H49" s="3" t="s">
        <v>101</v>
      </c>
      <c r="I49" s="3"/>
      <c r="J49" s="3"/>
      <c r="K49" s="3">
        <v>212</v>
      </c>
      <c r="L49" s="3">
        <v>13</v>
      </c>
      <c r="M49" s="3">
        <v>1</v>
      </c>
      <c r="N49" s="3" t="s">
        <v>3</v>
      </c>
    </row>
    <row r="50" spans="1:14" ht="12.75">
      <c r="A50" s="3">
        <v>50</v>
      </c>
      <c r="B50" s="3">
        <f>IF(Source!F50&lt;&gt;0,1,0)</f>
        <v>1</v>
      </c>
      <c r="C50" s="3">
        <v>0</v>
      </c>
      <c r="D50" s="3">
        <v>2</v>
      </c>
      <c r="E50" s="3">
        <v>0</v>
      </c>
      <c r="F50" s="3">
        <v>5.14</v>
      </c>
      <c r="G50" s="3" t="s">
        <v>102</v>
      </c>
      <c r="H50" s="3" t="s">
        <v>103</v>
      </c>
      <c r="I50" s="3"/>
      <c r="J50" s="3"/>
      <c r="K50" s="3">
        <v>212</v>
      </c>
      <c r="L50" s="3">
        <v>14</v>
      </c>
      <c r="M50" s="3">
        <v>1</v>
      </c>
      <c r="N50" s="3" t="s">
        <v>3</v>
      </c>
    </row>
    <row r="51" spans="1:14" ht="12.75">
      <c r="A51" s="3">
        <v>50</v>
      </c>
      <c r="B51" s="3">
        <f>IF(Source!F51&lt;&gt;0,1,0)</f>
        <v>1</v>
      </c>
      <c r="C51" s="3">
        <v>0</v>
      </c>
      <c r="D51" s="3">
        <v>2</v>
      </c>
      <c r="E51" s="3">
        <v>203</v>
      </c>
      <c r="F51" s="3">
        <f>ROUND(Source!F39*Source!F48,2)</f>
        <v>6.73</v>
      </c>
      <c r="G51" s="3" t="s">
        <v>104</v>
      </c>
      <c r="H51" s="3" t="s">
        <v>105</v>
      </c>
      <c r="I51" s="3"/>
      <c r="J51" s="3"/>
      <c r="K51" s="3">
        <v>212</v>
      </c>
      <c r="L51" s="3">
        <v>15</v>
      </c>
      <c r="M51" s="3">
        <v>1</v>
      </c>
      <c r="N51" s="3" t="s">
        <v>3</v>
      </c>
    </row>
    <row r="52" spans="1:14" ht="12.75">
      <c r="A52" s="3">
        <v>50</v>
      </c>
      <c r="B52" s="3">
        <f>IF(Source!F52&lt;&gt;0,1,0)</f>
        <v>1</v>
      </c>
      <c r="C52" s="3">
        <v>0</v>
      </c>
      <c r="D52" s="3">
        <v>2</v>
      </c>
      <c r="E52" s="3">
        <v>202</v>
      </c>
      <c r="F52" s="3">
        <f>ROUND(Source!F38*Source!F49,2)</f>
        <v>11658.33</v>
      </c>
      <c r="G52" s="3" t="s">
        <v>106</v>
      </c>
      <c r="H52" s="3" t="s">
        <v>107</v>
      </c>
      <c r="I52" s="3"/>
      <c r="J52" s="3"/>
      <c r="K52" s="3">
        <v>212</v>
      </c>
      <c r="L52" s="3">
        <v>16</v>
      </c>
      <c r="M52" s="3">
        <v>1</v>
      </c>
      <c r="N52" s="3" t="s">
        <v>3</v>
      </c>
    </row>
    <row r="53" spans="1:14" ht="12.75">
      <c r="A53" s="3">
        <v>50</v>
      </c>
      <c r="B53" s="3">
        <f>IF(Source!F53&lt;&gt;0,1,0)</f>
        <v>1</v>
      </c>
      <c r="C53" s="3">
        <v>0</v>
      </c>
      <c r="D53" s="3">
        <v>2</v>
      </c>
      <c r="E53" s="3">
        <v>204</v>
      </c>
      <c r="F53" s="3">
        <f>ROUND(Source!F40*Source!F50,2)</f>
        <v>2.78</v>
      </c>
      <c r="G53" s="3" t="s">
        <v>108</v>
      </c>
      <c r="H53" s="3" t="s">
        <v>109</v>
      </c>
      <c r="I53" s="3"/>
      <c r="J53" s="3"/>
      <c r="K53" s="3">
        <v>212</v>
      </c>
      <c r="L53" s="3">
        <v>17</v>
      </c>
      <c r="M53" s="3">
        <v>1</v>
      </c>
      <c r="N53" s="3" t="s">
        <v>3</v>
      </c>
    </row>
    <row r="54" spans="1:14" ht="12.75">
      <c r="A54" s="3">
        <v>50</v>
      </c>
      <c r="B54" s="3">
        <f>IF(Source!F54&lt;&gt;0,1,0)</f>
        <v>1</v>
      </c>
      <c r="C54" s="3">
        <v>0</v>
      </c>
      <c r="D54" s="3">
        <v>2</v>
      </c>
      <c r="E54" s="3">
        <v>205</v>
      </c>
      <c r="F54" s="3">
        <f>ROUND(Source!F41*Source!F50,2)</f>
        <v>20978.96</v>
      </c>
      <c r="G54" s="3" t="s">
        <v>110</v>
      </c>
      <c r="H54" s="3" t="s">
        <v>111</v>
      </c>
      <c r="I54" s="3"/>
      <c r="J54" s="3"/>
      <c r="K54" s="3">
        <v>212</v>
      </c>
      <c r="L54" s="3">
        <v>18</v>
      </c>
      <c r="M54" s="3">
        <v>1</v>
      </c>
      <c r="N54" s="3" t="s">
        <v>3</v>
      </c>
    </row>
    <row r="55" spans="1:14" ht="12.75">
      <c r="A55" s="3">
        <v>50</v>
      </c>
      <c r="B55" s="3">
        <f>IF(Source!F55&lt;&gt;0,1,0)</f>
        <v>1</v>
      </c>
      <c r="C55" s="3">
        <v>0</v>
      </c>
      <c r="D55" s="3">
        <v>2</v>
      </c>
      <c r="E55" s="3">
        <v>201</v>
      </c>
      <c r="F55" s="3">
        <f>ROUND(Source!F51+Source!F52+Source!F54,2)</f>
        <v>32644.02</v>
      </c>
      <c r="G55" s="3" t="s">
        <v>112</v>
      </c>
      <c r="H55" s="3" t="s">
        <v>113</v>
      </c>
      <c r="I55" s="3"/>
      <c r="J55" s="3"/>
      <c r="K55" s="3">
        <v>212</v>
      </c>
      <c r="L55" s="3">
        <v>19</v>
      </c>
      <c r="M55" s="3">
        <v>1</v>
      </c>
      <c r="N55" s="3" t="s">
        <v>3</v>
      </c>
    </row>
    <row r="56" spans="1:14" ht="12.75">
      <c r="A56" s="3">
        <v>50</v>
      </c>
      <c r="B56" s="3">
        <f>IF(Source!F56&lt;&gt;0,1,0)</f>
        <v>1</v>
      </c>
      <c r="C56" s="3">
        <v>0</v>
      </c>
      <c r="D56" s="3">
        <v>2</v>
      </c>
      <c r="E56" s="3">
        <v>0</v>
      </c>
      <c r="F56" s="3">
        <f>ROUND(0.94,2)</f>
        <v>0.94</v>
      </c>
      <c r="G56" s="3" t="s">
        <v>114</v>
      </c>
      <c r="H56" s="3" t="s">
        <v>115</v>
      </c>
      <c r="I56" s="3"/>
      <c r="J56" s="3"/>
      <c r="K56" s="3">
        <v>212</v>
      </c>
      <c r="L56" s="3">
        <v>20</v>
      </c>
      <c r="M56" s="3">
        <v>1</v>
      </c>
      <c r="N56" s="3" t="s">
        <v>3</v>
      </c>
    </row>
    <row r="57" spans="1:14" ht="12.75">
      <c r="A57" s="3">
        <v>50</v>
      </c>
      <c r="B57" s="3">
        <f>IF(Source!F57&lt;&gt;0,1,0)</f>
        <v>1</v>
      </c>
      <c r="C57" s="3">
        <v>0</v>
      </c>
      <c r="D57" s="3">
        <v>2</v>
      </c>
      <c r="E57" s="3">
        <v>210</v>
      </c>
      <c r="F57" s="3">
        <f>ROUND(((Source!F53+Source!F54)/(Source!F40+Source!F41))*Source!F46*Source!F56,2)</f>
        <v>19640.02</v>
      </c>
      <c r="G57" s="3" t="s">
        <v>116</v>
      </c>
      <c r="H57" s="3" t="s">
        <v>117</v>
      </c>
      <c r="I57" s="3"/>
      <c r="J57" s="3"/>
      <c r="K57" s="3">
        <v>212</v>
      </c>
      <c r="L57" s="3">
        <v>21</v>
      </c>
      <c r="M57" s="3">
        <v>1</v>
      </c>
      <c r="N57" s="3" t="s">
        <v>3</v>
      </c>
    </row>
    <row r="58" spans="1:14" ht="12.75">
      <c r="A58" s="3">
        <v>50</v>
      </c>
      <c r="B58" s="3">
        <f>IF(Source!F58&lt;&gt;0,1,0)</f>
        <v>1</v>
      </c>
      <c r="C58" s="3">
        <v>0</v>
      </c>
      <c r="D58" s="3">
        <v>2</v>
      </c>
      <c r="E58" s="3">
        <v>211</v>
      </c>
      <c r="F58" s="3">
        <v>11330.61</v>
      </c>
      <c r="G58" s="3" t="s">
        <v>118</v>
      </c>
      <c r="H58" s="3" t="s">
        <v>119</v>
      </c>
      <c r="I58" s="3"/>
      <c r="J58" s="3"/>
      <c r="K58" s="3">
        <v>212</v>
      </c>
      <c r="L58" s="3">
        <v>22</v>
      </c>
      <c r="M58" s="3">
        <v>1</v>
      </c>
      <c r="N58" s="3" t="s">
        <v>3</v>
      </c>
    </row>
    <row r="59" spans="1:14" ht="12.75">
      <c r="A59" s="3">
        <v>50</v>
      </c>
      <c r="B59" s="3">
        <f>IF(Source!F59&lt;&gt;0,1,0)</f>
        <v>1</v>
      </c>
      <c r="C59" s="3">
        <v>0</v>
      </c>
      <c r="D59" s="3">
        <v>2</v>
      </c>
      <c r="E59" s="3">
        <v>0</v>
      </c>
      <c r="F59" s="3">
        <f>ROUND(Source!F58+Source!F57+Source!F55,2)</f>
        <v>63614.65</v>
      </c>
      <c r="G59" s="3" t="s">
        <v>120</v>
      </c>
      <c r="H59" s="3" t="s">
        <v>121</v>
      </c>
      <c r="I59" s="3"/>
      <c r="J59" s="3"/>
      <c r="K59" s="3">
        <v>212</v>
      </c>
      <c r="L59" s="3">
        <v>23</v>
      </c>
      <c r="M59" s="3">
        <v>1</v>
      </c>
      <c r="N59" s="3" t="s">
        <v>3</v>
      </c>
    </row>
    <row r="60" spans="1:14" ht="12.75">
      <c r="A60" s="3">
        <v>50</v>
      </c>
      <c r="B60" s="3">
        <f>IF(Source!F60&lt;&gt;0,1,0)</f>
        <v>0</v>
      </c>
      <c r="C60" s="3">
        <v>0</v>
      </c>
      <c r="D60" s="3">
        <v>2</v>
      </c>
      <c r="E60" s="3">
        <v>0</v>
      </c>
      <c r="F60" s="3">
        <v>0</v>
      </c>
      <c r="G60" s="3" t="s">
        <v>122</v>
      </c>
      <c r="H60" s="3" t="s">
        <v>123</v>
      </c>
      <c r="I60" s="3"/>
      <c r="J60" s="3"/>
      <c r="K60" s="3">
        <v>212</v>
      </c>
      <c r="L60" s="3">
        <v>24</v>
      </c>
      <c r="M60" s="3">
        <v>1</v>
      </c>
      <c r="N60" s="3" t="s">
        <v>3</v>
      </c>
    </row>
    <row r="61" spans="1:14" ht="12.75">
      <c r="A61" s="3">
        <v>50</v>
      </c>
      <c r="B61" s="3">
        <f>IF(Source!F61&lt;&gt;0,1,0)</f>
        <v>0</v>
      </c>
      <c r="C61" s="3">
        <v>0</v>
      </c>
      <c r="D61" s="3">
        <v>2</v>
      </c>
      <c r="E61" s="3">
        <v>0</v>
      </c>
      <c r="F61" s="3">
        <f>ROUND(IF(Source!F60=0,0,Source!F59/100*Source!F60),2)</f>
        <v>0</v>
      </c>
      <c r="G61" s="3" t="s">
        <v>124</v>
      </c>
      <c r="H61" s="3" t="s">
        <v>125</v>
      </c>
      <c r="I61" s="3"/>
      <c r="J61" s="3"/>
      <c r="K61" s="3">
        <v>212</v>
      </c>
      <c r="L61" s="3">
        <v>25</v>
      </c>
      <c r="M61" s="3">
        <v>1</v>
      </c>
      <c r="N61" s="3" t="s">
        <v>3</v>
      </c>
    </row>
    <row r="62" spans="1:14" ht="12.75">
      <c r="A62" s="3">
        <v>50</v>
      </c>
      <c r="B62" s="3">
        <f>IF(Source!F62&lt;&gt;0,1,0)</f>
        <v>0</v>
      </c>
      <c r="C62" s="3">
        <v>0</v>
      </c>
      <c r="D62" s="3">
        <v>2</v>
      </c>
      <c r="E62" s="3">
        <v>0</v>
      </c>
      <c r="F62" s="3">
        <f>ROUND(IF(Source!F60=0,0,Source!F59+Source!F61),2)</f>
        <v>0</v>
      </c>
      <c r="G62" s="3" t="s">
        <v>126</v>
      </c>
      <c r="H62" s="3" t="s">
        <v>127</v>
      </c>
      <c r="I62" s="3"/>
      <c r="J62" s="3"/>
      <c r="K62" s="3">
        <v>212</v>
      </c>
      <c r="L62" s="3">
        <v>26</v>
      </c>
      <c r="M62" s="3">
        <v>1</v>
      </c>
      <c r="N62" s="3" t="s">
        <v>3</v>
      </c>
    </row>
    <row r="63" spans="1:14" ht="12.75">
      <c r="A63" s="3">
        <v>50</v>
      </c>
      <c r="B63" s="3">
        <f>IF(Source!F63&lt;&gt;0,1,0)</f>
        <v>0</v>
      </c>
      <c r="C63" s="3">
        <v>0</v>
      </c>
      <c r="D63" s="3">
        <v>2</v>
      </c>
      <c r="E63" s="3">
        <v>0</v>
      </c>
      <c r="F63" s="3">
        <v>0</v>
      </c>
      <c r="G63" s="3" t="s">
        <v>128</v>
      </c>
      <c r="H63" s="3" t="s">
        <v>129</v>
      </c>
      <c r="I63" s="3"/>
      <c r="J63" s="3"/>
      <c r="K63" s="3">
        <v>212</v>
      </c>
      <c r="L63" s="3">
        <v>27</v>
      </c>
      <c r="M63" s="3">
        <v>1</v>
      </c>
      <c r="N63" s="3" t="s">
        <v>3</v>
      </c>
    </row>
    <row r="64" spans="1:14" ht="12.75">
      <c r="A64" s="3">
        <v>50</v>
      </c>
      <c r="B64" s="3">
        <f>IF(Source!F64&lt;&gt;0,1,0)</f>
        <v>0</v>
      </c>
      <c r="C64" s="3">
        <v>0</v>
      </c>
      <c r="D64" s="3">
        <v>2</v>
      </c>
      <c r="E64" s="3">
        <v>0</v>
      </c>
      <c r="F64" s="3">
        <f>ROUND(IF(Source!F63=0,0,(Source!F59+Source!F61)/100*Source!F63),2)</f>
        <v>0</v>
      </c>
      <c r="G64" s="3" t="s">
        <v>130</v>
      </c>
      <c r="H64" s="3" t="s">
        <v>131</v>
      </c>
      <c r="I64" s="3"/>
      <c r="J64" s="3"/>
      <c r="K64" s="3">
        <v>212</v>
      </c>
      <c r="L64" s="3">
        <v>28</v>
      </c>
      <c r="M64" s="3">
        <v>1</v>
      </c>
      <c r="N64" s="3" t="s">
        <v>3</v>
      </c>
    </row>
    <row r="65" spans="1:14" ht="12.75">
      <c r="A65" s="3">
        <v>50</v>
      </c>
      <c r="B65" s="3">
        <f>IF(Source!F65&lt;&gt;0,1,0)</f>
        <v>0</v>
      </c>
      <c r="C65" s="3">
        <v>0</v>
      </c>
      <c r="D65" s="3">
        <v>2</v>
      </c>
      <c r="E65" s="3">
        <v>0</v>
      </c>
      <c r="F65" s="3">
        <f>ROUND(IF(Source!F64=0,0,Source!F59+Source!F64),2)</f>
        <v>0</v>
      </c>
      <c r="G65" s="3" t="s">
        <v>132</v>
      </c>
      <c r="H65" s="3" t="s">
        <v>133</v>
      </c>
      <c r="I65" s="3"/>
      <c r="J65" s="3"/>
      <c r="K65" s="3">
        <v>212</v>
      </c>
      <c r="L65" s="3">
        <v>29</v>
      </c>
      <c r="M65" s="3">
        <v>1</v>
      </c>
      <c r="N65" s="3" t="s">
        <v>3</v>
      </c>
    </row>
    <row r="66" spans="1:14" ht="12.75">
      <c r="A66" s="3">
        <v>50</v>
      </c>
      <c r="B66" s="3">
        <f>IF(Source!F66&lt;&gt;0,1,0)</f>
        <v>0</v>
      </c>
      <c r="C66" s="3">
        <v>0</v>
      </c>
      <c r="D66" s="3">
        <v>2</v>
      </c>
      <c r="E66" s="3">
        <v>0</v>
      </c>
      <c r="F66" s="3">
        <v>0</v>
      </c>
      <c r="G66" s="3" t="s">
        <v>134</v>
      </c>
      <c r="H66" s="3" t="s">
        <v>135</v>
      </c>
      <c r="I66" s="3"/>
      <c r="J66" s="3"/>
      <c r="K66" s="3">
        <v>212</v>
      </c>
      <c r="L66" s="3">
        <v>30</v>
      </c>
      <c r="M66" s="3">
        <v>1</v>
      </c>
      <c r="N66" s="3" t="s">
        <v>3</v>
      </c>
    </row>
    <row r="67" spans="1:14" ht="12.75">
      <c r="A67" s="3">
        <v>50</v>
      </c>
      <c r="B67" s="3">
        <f>IF(Source!F67&lt;&gt;0,1,0)</f>
        <v>0</v>
      </c>
      <c r="C67" s="3">
        <v>0</v>
      </c>
      <c r="D67" s="3">
        <v>2</v>
      </c>
      <c r="E67" s="3">
        <v>0</v>
      </c>
      <c r="F67" s="3">
        <f>ROUND(IF(Source!F66=0,0,(Source!F59+Source!F61+Source!F64)/100*Source!F66),2)</f>
        <v>0</v>
      </c>
      <c r="G67" s="3" t="s">
        <v>136</v>
      </c>
      <c r="H67" s="3" t="s">
        <v>137</v>
      </c>
      <c r="I67" s="3"/>
      <c r="J67" s="3"/>
      <c r="K67" s="3">
        <v>212</v>
      </c>
      <c r="L67" s="3">
        <v>31</v>
      </c>
      <c r="M67" s="3">
        <v>1</v>
      </c>
      <c r="N67" s="3" t="s">
        <v>3</v>
      </c>
    </row>
    <row r="68" spans="1:14" ht="12.75">
      <c r="A68" s="3">
        <v>50</v>
      </c>
      <c r="B68" s="3">
        <f>IF(Source!F68&lt;&gt;0,1,0)</f>
        <v>0</v>
      </c>
      <c r="C68" s="3">
        <v>0</v>
      </c>
      <c r="D68" s="3">
        <v>2</v>
      </c>
      <c r="E68" s="3">
        <v>0</v>
      </c>
      <c r="F68" s="3">
        <f>ROUND(IF(Source!F67=0,0,Source!F59+Source!F64+Source!F67),2)</f>
        <v>0</v>
      </c>
      <c r="G68" s="3" t="s">
        <v>138</v>
      </c>
      <c r="H68" s="3" t="s">
        <v>139</v>
      </c>
      <c r="I68" s="3"/>
      <c r="J68" s="3"/>
      <c r="K68" s="3">
        <v>212</v>
      </c>
      <c r="L68" s="3">
        <v>32</v>
      </c>
      <c r="M68" s="3">
        <v>1</v>
      </c>
      <c r="N68" s="3" t="s">
        <v>3</v>
      </c>
    </row>
    <row r="69" spans="1:14" ht="12.75">
      <c r="A69" s="3">
        <v>50</v>
      </c>
      <c r="B69" s="3">
        <f>IF(Source!F69&lt;&gt;0,1,0)</f>
        <v>1</v>
      </c>
      <c r="C69" s="3">
        <v>0</v>
      </c>
      <c r="D69" s="3">
        <v>2</v>
      </c>
      <c r="E69" s="3">
        <v>0</v>
      </c>
      <c r="F69" s="3">
        <f>ROUND(Source!F59+Source!F61+Source!F64+Source!F67,2)</f>
        <v>63614.65</v>
      </c>
      <c r="G69" s="3" t="s">
        <v>140</v>
      </c>
      <c r="H69" s="3" t="s">
        <v>141</v>
      </c>
      <c r="I69" s="3"/>
      <c r="J69" s="3"/>
      <c r="K69" s="3">
        <v>212</v>
      </c>
      <c r="L69" s="3">
        <v>33</v>
      </c>
      <c r="M69" s="3">
        <v>1</v>
      </c>
      <c r="N69" s="3" t="s">
        <v>3</v>
      </c>
    </row>
    <row r="70" spans="1:14" ht="12.75">
      <c r="A70" s="3">
        <v>50</v>
      </c>
      <c r="B70" s="3">
        <f>IF(Source!F70&lt;&gt;0,1,0)</f>
        <v>1</v>
      </c>
      <c r="C70" s="3">
        <v>0</v>
      </c>
      <c r="D70" s="3">
        <v>2</v>
      </c>
      <c r="E70" s="3">
        <v>0</v>
      </c>
      <c r="F70" s="3">
        <f>ROUND(Source!F69*0.18,2)</f>
        <v>11450.64</v>
      </c>
      <c r="G70" s="3" t="s">
        <v>142</v>
      </c>
      <c r="H70" s="3" t="s">
        <v>143</v>
      </c>
      <c r="I70" s="3"/>
      <c r="J70" s="3"/>
      <c r="K70" s="3">
        <v>212</v>
      </c>
      <c r="L70" s="3">
        <v>34</v>
      </c>
      <c r="M70" s="3">
        <v>1</v>
      </c>
      <c r="N70" s="3" t="s">
        <v>3</v>
      </c>
    </row>
    <row r="71" spans="1:14" ht="12.75">
      <c r="A71" s="3">
        <v>50</v>
      </c>
      <c r="B71" s="3">
        <f>IF(Source!F71&lt;&gt;0,1,0)</f>
        <v>1</v>
      </c>
      <c r="C71" s="3">
        <v>0</v>
      </c>
      <c r="D71" s="3">
        <v>2</v>
      </c>
      <c r="E71" s="3">
        <v>213</v>
      </c>
      <c r="F71" s="3">
        <f>ROUND(Source!F59+Source!F70,2)</f>
        <v>75065.29</v>
      </c>
      <c r="G71" s="3" t="s">
        <v>144</v>
      </c>
      <c r="H71" s="3" t="s">
        <v>145</v>
      </c>
      <c r="I71" s="3"/>
      <c r="J71" s="3"/>
      <c r="K71" s="3">
        <v>212</v>
      </c>
      <c r="L71" s="3">
        <v>35</v>
      </c>
      <c r="M71" s="3">
        <v>1</v>
      </c>
      <c r="N71" s="3" t="s">
        <v>3</v>
      </c>
    </row>
    <row r="73" spans="1:39" ht="12.75">
      <c r="A73" s="2">
        <v>51</v>
      </c>
      <c r="B73" s="2">
        <f>B12</f>
        <v>1</v>
      </c>
      <c r="C73" s="2">
        <f>A12</f>
        <v>1</v>
      </c>
      <c r="D73" s="2">
        <f>ROW(A12)</f>
        <v>12</v>
      </c>
      <c r="E73" s="2"/>
      <c r="F73" s="2" t="str">
        <f>IF(F12&lt;&gt;"",F12,"")</f>
        <v>Новый объект</v>
      </c>
      <c r="G73" s="2" t="str">
        <f>IF(G12&lt;&gt;"",G12,"")</f>
        <v>МОУ средняя общеобразовательная школа с. Никольское на Черемшане</v>
      </c>
      <c r="H73" s="2"/>
      <c r="I73" s="2"/>
      <c r="J73" s="2"/>
      <c r="K73" s="2"/>
      <c r="L73" s="2"/>
      <c r="M73" s="2"/>
      <c r="N73" s="2"/>
      <c r="O73" s="2">
        <f aca="true" t="shared" si="34" ref="O73:Y73">ROUND(O35,2)</f>
        <v>7243.21</v>
      </c>
      <c r="P73" s="2">
        <f t="shared" si="34"/>
        <v>3159.44</v>
      </c>
      <c r="Q73" s="2">
        <f t="shared" si="34"/>
        <v>2.26</v>
      </c>
      <c r="R73" s="2">
        <f t="shared" si="34"/>
        <v>0.54</v>
      </c>
      <c r="S73" s="2">
        <f t="shared" si="34"/>
        <v>4081.51</v>
      </c>
      <c r="T73" s="2">
        <f t="shared" si="34"/>
        <v>0</v>
      </c>
      <c r="U73" s="2">
        <f t="shared" si="34"/>
        <v>454.45</v>
      </c>
      <c r="V73" s="2">
        <f t="shared" si="34"/>
        <v>0.06</v>
      </c>
      <c r="W73" s="2">
        <f t="shared" si="34"/>
        <v>0</v>
      </c>
      <c r="X73" s="2">
        <f t="shared" si="34"/>
        <v>4064.91</v>
      </c>
      <c r="Y73" s="2">
        <f t="shared" si="34"/>
        <v>2375.75</v>
      </c>
      <c r="Z73" s="2"/>
      <c r="AA73" s="2"/>
      <c r="AB73" s="2">
        <v>0</v>
      </c>
      <c r="AC73" s="2">
        <v>0</v>
      </c>
      <c r="AD73" s="2">
        <v>0</v>
      </c>
      <c r="AE73" s="2">
        <v>0</v>
      </c>
      <c r="AF73" s="2">
        <v>0</v>
      </c>
      <c r="AG73" s="2">
        <v>0</v>
      </c>
      <c r="AH73" s="2">
        <v>0</v>
      </c>
      <c r="AI73" s="2">
        <v>0</v>
      </c>
      <c r="AJ73" s="2">
        <v>0</v>
      </c>
      <c r="AK73" s="2">
        <v>0</v>
      </c>
      <c r="AL73" s="2">
        <v>0</v>
      </c>
      <c r="AM73" s="2">
        <v>0</v>
      </c>
    </row>
    <row r="75" spans="1:14" ht="12.75">
      <c r="A75" s="3">
        <v>50</v>
      </c>
      <c r="B75" s="3">
        <v>0</v>
      </c>
      <c r="C75" s="3">
        <v>0</v>
      </c>
      <c r="D75" s="3">
        <v>1</v>
      </c>
      <c r="E75" s="3">
        <v>201</v>
      </c>
      <c r="F75" s="3">
        <f>Source!O73</f>
        <v>7243.21</v>
      </c>
      <c r="G75" s="3" t="s">
        <v>76</v>
      </c>
      <c r="H75" s="3" t="s">
        <v>77</v>
      </c>
      <c r="I75" s="3"/>
      <c r="J75" s="3"/>
      <c r="K75" s="3">
        <v>201</v>
      </c>
      <c r="L75" s="3">
        <v>1</v>
      </c>
      <c r="M75" s="3">
        <v>3</v>
      </c>
      <c r="N75" s="3" t="s">
        <v>3</v>
      </c>
    </row>
    <row r="76" spans="1:14" ht="12.75">
      <c r="A76" s="3">
        <v>50</v>
      </c>
      <c r="B76" s="3">
        <v>0</v>
      </c>
      <c r="C76" s="3">
        <v>0</v>
      </c>
      <c r="D76" s="3">
        <v>1</v>
      </c>
      <c r="E76" s="3">
        <v>202</v>
      </c>
      <c r="F76" s="3">
        <f>Source!P73</f>
        <v>3159.44</v>
      </c>
      <c r="G76" s="3" t="s">
        <v>78</v>
      </c>
      <c r="H76" s="3" t="s">
        <v>79</v>
      </c>
      <c r="I76" s="3"/>
      <c r="J76" s="3"/>
      <c r="K76" s="3">
        <v>202</v>
      </c>
      <c r="L76" s="3">
        <v>2</v>
      </c>
      <c r="M76" s="3">
        <v>3</v>
      </c>
      <c r="N76" s="3" t="s">
        <v>3</v>
      </c>
    </row>
    <row r="77" spans="1:14" ht="12.75">
      <c r="A77" s="3">
        <v>50</v>
      </c>
      <c r="B77" s="3">
        <v>0</v>
      </c>
      <c r="C77" s="3">
        <v>0</v>
      </c>
      <c r="D77" s="3">
        <v>1</v>
      </c>
      <c r="E77" s="3">
        <v>203</v>
      </c>
      <c r="F77" s="3">
        <f>Source!Q73</f>
        <v>2.26</v>
      </c>
      <c r="G77" s="3" t="s">
        <v>80</v>
      </c>
      <c r="H77" s="3" t="s">
        <v>81</v>
      </c>
      <c r="I77" s="3"/>
      <c r="J77" s="3"/>
      <c r="K77" s="3">
        <v>203</v>
      </c>
      <c r="L77" s="3">
        <v>3</v>
      </c>
      <c r="M77" s="3">
        <v>3</v>
      </c>
      <c r="N77" s="3" t="s">
        <v>3</v>
      </c>
    </row>
    <row r="78" spans="1:14" ht="12.75">
      <c r="A78" s="3">
        <v>50</v>
      </c>
      <c r="B78" s="3">
        <v>0</v>
      </c>
      <c r="C78" s="3">
        <v>0</v>
      </c>
      <c r="D78" s="3">
        <v>1</v>
      </c>
      <c r="E78" s="3">
        <v>204</v>
      </c>
      <c r="F78" s="3">
        <f>Source!R73</f>
        <v>0.54</v>
      </c>
      <c r="G78" s="3" t="s">
        <v>82</v>
      </c>
      <c r="H78" s="3" t="s">
        <v>83</v>
      </c>
      <c r="I78" s="3"/>
      <c r="J78" s="3"/>
      <c r="K78" s="3">
        <v>204</v>
      </c>
      <c r="L78" s="3">
        <v>4</v>
      </c>
      <c r="M78" s="3">
        <v>3</v>
      </c>
      <c r="N78" s="3" t="s">
        <v>3</v>
      </c>
    </row>
    <row r="79" spans="1:14" ht="12.75">
      <c r="A79" s="3">
        <v>50</v>
      </c>
      <c r="B79" s="3">
        <v>0</v>
      </c>
      <c r="C79" s="3">
        <v>0</v>
      </c>
      <c r="D79" s="3">
        <v>1</v>
      </c>
      <c r="E79" s="3">
        <v>205</v>
      </c>
      <c r="F79" s="3">
        <f>Source!S73</f>
        <v>4081.51</v>
      </c>
      <c r="G79" s="3" t="s">
        <v>84</v>
      </c>
      <c r="H79" s="3" t="s">
        <v>85</v>
      </c>
      <c r="I79" s="3"/>
      <c r="J79" s="3"/>
      <c r="K79" s="3">
        <v>205</v>
      </c>
      <c r="L79" s="3">
        <v>5</v>
      </c>
      <c r="M79" s="3">
        <v>3</v>
      </c>
      <c r="N79" s="3" t="s">
        <v>3</v>
      </c>
    </row>
    <row r="80" spans="1:14" ht="12.75">
      <c r="A80" s="3">
        <v>50</v>
      </c>
      <c r="B80" s="3">
        <v>0</v>
      </c>
      <c r="C80" s="3">
        <v>0</v>
      </c>
      <c r="D80" s="3">
        <v>1</v>
      </c>
      <c r="E80" s="3">
        <v>206</v>
      </c>
      <c r="F80" s="3">
        <f>Source!T73</f>
        <v>0</v>
      </c>
      <c r="G80" s="3" t="s">
        <v>86</v>
      </c>
      <c r="H80" s="3" t="s">
        <v>87</v>
      </c>
      <c r="I80" s="3"/>
      <c r="J80" s="3"/>
      <c r="K80" s="3">
        <v>206</v>
      </c>
      <c r="L80" s="3">
        <v>6</v>
      </c>
      <c r="M80" s="3">
        <v>3</v>
      </c>
      <c r="N80" s="3" t="s">
        <v>3</v>
      </c>
    </row>
    <row r="81" spans="1:14" ht="12.75">
      <c r="A81" s="3">
        <v>50</v>
      </c>
      <c r="B81" s="3">
        <v>0</v>
      </c>
      <c r="C81" s="3">
        <v>0</v>
      </c>
      <c r="D81" s="3">
        <v>1</v>
      </c>
      <c r="E81" s="3">
        <v>207</v>
      </c>
      <c r="F81" s="3">
        <f>Source!U73</f>
        <v>454.45</v>
      </c>
      <c r="G81" s="3" t="s">
        <v>88</v>
      </c>
      <c r="H81" s="3" t="s">
        <v>89</v>
      </c>
      <c r="I81" s="3"/>
      <c r="J81" s="3"/>
      <c r="K81" s="3">
        <v>207</v>
      </c>
      <c r="L81" s="3">
        <v>7</v>
      </c>
      <c r="M81" s="3">
        <v>3</v>
      </c>
      <c r="N81" s="3" t="s">
        <v>3</v>
      </c>
    </row>
    <row r="82" spans="1:14" ht="12.75">
      <c r="A82" s="3">
        <v>50</v>
      </c>
      <c r="B82" s="3">
        <v>0</v>
      </c>
      <c r="C82" s="3">
        <v>0</v>
      </c>
      <c r="D82" s="3">
        <v>1</v>
      </c>
      <c r="E82" s="3">
        <v>208</v>
      </c>
      <c r="F82" s="3">
        <f>Source!V73</f>
        <v>0.06</v>
      </c>
      <c r="G82" s="3" t="s">
        <v>90</v>
      </c>
      <c r="H82" s="3" t="s">
        <v>91</v>
      </c>
      <c r="I82" s="3"/>
      <c r="J82" s="3"/>
      <c r="K82" s="3">
        <v>208</v>
      </c>
      <c r="L82" s="3">
        <v>8</v>
      </c>
      <c r="M82" s="3">
        <v>3</v>
      </c>
      <c r="N82" s="3" t="s">
        <v>3</v>
      </c>
    </row>
    <row r="83" spans="1:14" ht="12.75">
      <c r="A83" s="3">
        <v>50</v>
      </c>
      <c r="B83" s="3">
        <v>0</v>
      </c>
      <c r="C83" s="3">
        <v>0</v>
      </c>
      <c r="D83" s="3">
        <v>1</v>
      </c>
      <c r="E83" s="3">
        <v>209</v>
      </c>
      <c r="F83" s="3">
        <f>Source!W73</f>
        <v>0</v>
      </c>
      <c r="G83" s="3" t="s">
        <v>92</v>
      </c>
      <c r="H83" s="3" t="s">
        <v>93</v>
      </c>
      <c r="I83" s="3"/>
      <c r="J83" s="3"/>
      <c r="K83" s="3">
        <v>209</v>
      </c>
      <c r="L83" s="3">
        <v>9</v>
      </c>
      <c r="M83" s="3">
        <v>3</v>
      </c>
      <c r="N83" s="3" t="s">
        <v>3</v>
      </c>
    </row>
    <row r="84" spans="1:14" ht="12.75">
      <c r="A84" s="3">
        <v>50</v>
      </c>
      <c r="B84" s="3">
        <v>0</v>
      </c>
      <c r="C84" s="3">
        <v>0</v>
      </c>
      <c r="D84" s="3">
        <v>1</v>
      </c>
      <c r="E84" s="3">
        <v>210</v>
      </c>
      <c r="F84" s="3">
        <f>Source!X73</f>
        <v>4064.91</v>
      </c>
      <c r="G84" s="3" t="s">
        <v>94</v>
      </c>
      <c r="H84" s="3" t="s">
        <v>95</v>
      </c>
      <c r="I84" s="3"/>
      <c r="J84" s="3"/>
      <c r="K84" s="3">
        <v>210</v>
      </c>
      <c r="L84" s="3">
        <v>10</v>
      </c>
      <c r="M84" s="3">
        <v>3</v>
      </c>
      <c r="N84" s="3" t="s">
        <v>3</v>
      </c>
    </row>
    <row r="85" spans="1:14" ht="12.75">
      <c r="A85" s="3">
        <v>50</v>
      </c>
      <c r="B85" s="3">
        <v>0</v>
      </c>
      <c r="C85" s="3">
        <v>0</v>
      </c>
      <c r="D85" s="3">
        <v>1</v>
      </c>
      <c r="E85" s="3">
        <v>211</v>
      </c>
      <c r="F85" s="3">
        <f>Source!Y73</f>
        <v>2375.75</v>
      </c>
      <c r="G85" s="3" t="s">
        <v>96</v>
      </c>
      <c r="H85" s="3" t="s">
        <v>97</v>
      </c>
      <c r="I85" s="3"/>
      <c r="J85" s="3"/>
      <c r="K85" s="3">
        <v>211</v>
      </c>
      <c r="L85" s="3">
        <v>11</v>
      </c>
      <c r="M85" s="3">
        <v>3</v>
      </c>
      <c r="N85" s="3" t="s">
        <v>3</v>
      </c>
    </row>
    <row r="89" spans="1:5" ht="12.75">
      <c r="A89">
        <v>65</v>
      </c>
      <c r="C89">
        <v>1</v>
      </c>
      <c r="D89">
        <v>0</v>
      </c>
      <c r="E89">
        <v>200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W18"/>
  <sheetViews>
    <sheetView workbookViewId="0" topLeftCell="A1">
      <selection activeCell="A1" sqref="A1"/>
    </sheetView>
  </sheetViews>
  <sheetFormatPr defaultColWidth="9.140625" defaultRowHeight="12.75"/>
  <sheetData>
    <row r="1" spans="1:75" ht="12.75">
      <c r="A1">
        <f>ROW(Source!A24)</f>
        <v>24</v>
      </c>
      <c r="B1">
        <v>6135212</v>
      </c>
      <c r="C1">
        <v>6135211</v>
      </c>
      <c r="D1">
        <v>4079236</v>
      </c>
      <c r="E1">
        <v>1</v>
      </c>
      <c r="F1">
        <v>1</v>
      </c>
      <c r="G1">
        <v>1</v>
      </c>
      <c r="H1">
        <v>1</v>
      </c>
      <c r="I1" t="s">
        <v>146</v>
      </c>
      <c r="K1" t="s">
        <v>147</v>
      </c>
      <c r="L1">
        <v>1476</v>
      </c>
      <c r="N1">
        <v>1013</v>
      </c>
      <c r="O1" t="s">
        <v>148</v>
      </c>
      <c r="P1" t="s">
        <v>149</v>
      </c>
      <c r="Q1">
        <v>1</v>
      </c>
      <c r="Y1">
        <v>12.65</v>
      </c>
      <c r="AA1">
        <v>0</v>
      </c>
      <c r="AB1">
        <v>0</v>
      </c>
      <c r="AC1">
        <v>0</v>
      </c>
      <c r="AD1">
        <v>14.66</v>
      </c>
      <c r="AN1">
        <v>0</v>
      </c>
      <c r="AO1">
        <v>1</v>
      </c>
      <c r="AP1">
        <v>1</v>
      </c>
      <c r="AQ1">
        <v>0</v>
      </c>
      <c r="AR1">
        <v>0</v>
      </c>
      <c r="AT1">
        <v>11</v>
      </c>
      <c r="AU1" t="s">
        <v>18</v>
      </c>
      <c r="AV1">
        <v>1</v>
      </c>
      <c r="AW1">
        <v>2</v>
      </c>
      <c r="AX1">
        <v>6135215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</row>
    <row r="2" spans="1:75" ht="12.75">
      <c r="A2">
        <f>ROW(Source!A24)</f>
        <v>24</v>
      </c>
      <c r="B2">
        <v>6135213</v>
      </c>
      <c r="C2">
        <v>6135211</v>
      </c>
      <c r="D2">
        <v>4079261</v>
      </c>
      <c r="E2">
        <v>1</v>
      </c>
      <c r="F2">
        <v>1</v>
      </c>
      <c r="G2">
        <v>1</v>
      </c>
      <c r="H2">
        <v>1</v>
      </c>
      <c r="I2" t="s">
        <v>150</v>
      </c>
      <c r="K2" t="s">
        <v>151</v>
      </c>
      <c r="L2">
        <v>1476</v>
      </c>
      <c r="N2">
        <v>1013</v>
      </c>
      <c r="O2" t="s">
        <v>148</v>
      </c>
      <c r="P2" t="s">
        <v>149</v>
      </c>
      <c r="Q2">
        <v>1</v>
      </c>
      <c r="Y2">
        <v>6.325</v>
      </c>
      <c r="AA2">
        <v>0</v>
      </c>
      <c r="AB2">
        <v>0</v>
      </c>
      <c r="AC2">
        <v>0</v>
      </c>
      <c r="AD2">
        <v>14.26</v>
      </c>
      <c r="AN2">
        <v>0</v>
      </c>
      <c r="AO2">
        <v>1</v>
      </c>
      <c r="AP2">
        <v>1</v>
      </c>
      <c r="AQ2">
        <v>0</v>
      </c>
      <c r="AR2">
        <v>0</v>
      </c>
      <c r="AT2">
        <v>5.5</v>
      </c>
      <c r="AU2" t="s">
        <v>18</v>
      </c>
      <c r="AV2">
        <v>1</v>
      </c>
      <c r="AW2">
        <v>2</v>
      </c>
      <c r="AX2">
        <v>6135216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</row>
    <row r="3" spans="1:75" ht="12.75">
      <c r="A3">
        <f>ROW(Source!A24)</f>
        <v>24</v>
      </c>
      <c r="B3">
        <v>6135214</v>
      </c>
      <c r="C3">
        <v>6135211</v>
      </c>
      <c r="D3">
        <v>4079283</v>
      </c>
      <c r="E3">
        <v>1</v>
      </c>
      <c r="F3">
        <v>1</v>
      </c>
      <c r="G3">
        <v>1</v>
      </c>
      <c r="H3">
        <v>1</v>
      </c>
      <c r="I3" t="s">
        <v>152</v>
      </c>
      <c r="K3" t="s">
        <v>153</v>
      </c>
      <c r="L3">
        <v>1476</v>
      </c>
      <c r="N3">
        <v>1013</v>
      </c>
      <c r="O3" t="s">
        <v>148</v>
      </c>
      <c r="P3" t="s">
        <v>149</v>
      </c>
      <c r="Q3">
        <v>1</v>
      </c>
      <c r="Y3">
        <v>6.325</v>
      </c>
      <c r="AA3">
        <v>0</v>
      </c>
      <c r="AB3">
        <v>0</v>
      </c>
      <c r="AC3">
        <v>0</v>
      </c>
      <c r="AD3">
        <v>13.37</v>
      </c>
      <c r="AN3">
        <v>0</v>
      </c>
      <c r="AO3">
        <v>1</v>
      </c>
      <c r="AP3">
        <v>1</v>
      </c>
      <c r="AQ3">
        <v>0</v>
      </c>
      <c r="AR3">
        <v>0</v>
      </c>
      <c r="AT3">
        <v>5.5</v>
      </c>
      <c r="AU3" t="s">
        <v>18</v>
      </c>
      <c r="AV3">
        <v>1</v>
      </c>
      <c r="AW3">
        <v>2</v>
      </c>
      <c r="AX3">
        <v>6135217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</row>
    <row r="4" spans="1:75" ht="12.75">
      <c r="A4">
        <f>ROW(Source!A25)</f>
        <v>25</v>
      </c>
      <c r="B4">
        <v>6135219</v>
      </c>
      <c r="C4">
        <v>6135218</v>
      </c>
      <c r="D4">
        <v>4076602</v>
      </c>
      <c r="E4">
        <v>1</v>
      </c>
      <c r="F4">
        <v>1</v>
      </c>
      <c r="G4">
        <v>1</v>
      </c>
      <c r="H4">
        <v>1</v>
      </c>
      <c r="I4" t="s">
        <v>154</v>
      </c>
      <c r="K4" t="s">
        <v>155</v>
      </c>
      <c r="L4">
        <v>1476</v>
      </c>
      <c r="N4">
        <v>1013</v>
      </c>
      <c r="O4" t="s">
        <v>148</v>
      </c>
      <c r="P4" t="s">
        <v>149</v>
      </c>
      <c r="Q4">
        <v>1</v>
      </c>
      <c r="Y4">
        <v>0.41</v>
      </c>
      <c r="AA4">
        <v>0</v>
      </c>
      <c r="AB4">
        <v>0</v>
      </c>
      <c r="AC4">
        <v>0</v>
      </c>
      <c r="AD4">
        <v>7.6</v>
      </c>
      <c r="AN4">
        <v>0</v>
      </c>
      <c r="AO4">
        <v>1</v>
      </c>
      <c r="AP4">
        <v>1</v>
      </c>
      <c r="AQ4">
        <v>0</v>
      </c>
      <c r="AR4">
        <v>0</v>
      </c>
      <c r="AT4">
        <v>0.41</v>
      </c>
      <c r="AV4">
        <v>1</v>
      </c>
      <c r="AW4">
        <v>2</v>
      </c>
      <c r="AX4">
        <v>6135220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</row>
    <row r="5" spans="1:75" ht="12.75">
      <c r="A5">
        <f>ROW(Source!A26)</f>
        <v>26</v>
      </c>
      <c r="B5">
        <v>6135222</v>
      </c>
      <c r="C5">
        <v>6135221</v>
      </c>
      <c r="D5">
        <v>4077331</v>
      </c>
      <c r="E5">
        <v>1</v>
      </c>
      <c r="F5">
        <v>1</v>
      </c>
      <c r="G5">
        <v>1</v>
      </c>
      <c r="H5">
        <v>1</v>
      </c>
      <c r="I5" t="s">
        <v>156</v>
      </c>
      <c r="K5" t="s">
        <v>157</v>
      </c>
      <c r="L5">
        <v>1476</v>
      </c>
      <c r="N5">
        <v>1013</v>
      </c>
      <c r="O5" t="s">
        <v>148</v>
      </c>
      <c r="P5" t="s">
        <v>149</v>
      </c>
      <c r="Q5">
        <v>1</v>
      </c>
      <c r="Y5">
        <v>201.6</v>
      </c>
      <c r="AA5">
        <v>0</v>
      </c>
      <c r="AB5">
        <v>0</v>
      </c>
      <c r="AC5">
        <v>0</v>
      </c>
      <c r="AD5">
        <v>8.52</v>
      </c>
      <c r="AN5">
        <v>0</v>
      </c>
      <c r="AO5">
        <v>1</v>
      </c>
      <c r="AP5">
        <v>1</v>
      </c>
      <c r="AQ5">
        <v>0</v>
      </c>
      <c r="AR5">
        <v>0</v>
      </c>
      <c r="AT5">
        <v>100.8</v>
      </c>
      <c r="AU5" t="s">
        <v>36</v>
      </c>
      <c r="AV5">
        <v>1</v>
      </c>
      <c r="AW5">
        <v>2</v>
      </c>
      <c r="AX5">
        <v>6135226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</row>
    <row r="6" spans="1:75" ht="12.75">
      <c r="A6">
        <f>ROW(Source!A26)</f>
        <v>26</v>
      </c>
      <c r="B6">
        <v>6135223</v>
      </c>
      <c r="C6">
        <v>6135221</v>
      </c>
      <c r="D6">
        <v>5189691</v>
      </c>
      <c r="E6">
        <v>1</v>
      </c>
      <c r="F6">
        <v>1</v>
      </c>
      <c r="G6">
        <v>1</v>
      </c>
      <c r="H6">
        <v>3</v>
      </c>
      <c r="I6" t="s">
        <v>158</v>
      </c>
      <c r="J6" t="s">
        <v>159</v>
      </c>
      <c r="K6" t="s">
        <v>160</v>
      </c>
      <c r="L6">
        <v>1348</v>
      </c>
      <c r="N6">
        <v>1009</v>
      </c>
      <c r="O6" t="s">
        <v>161</v>
      </c>
      <c r="P6" t="s">
        <v>161</v>
      </c>
      <c r="Q6">
        <v>1000</v>
      </c>
      <c r="Y6">
        <v>0.0051</v>
      </c>
      <c r="AA6">
        <v>13884.14</v>
      </c>
      <c r="AB6">
        <v>0</v>
      </c>
      <c r="AC6">
        <v>0</v>
      </c>
      <c r="AD6">
        <v>0</v>
      </c>
      <c r="AN6">
        <v>0</v>
      </c>
      <c r="AO6">
        <v>1</v>
      </c>
      <c r="AP6">
        <v>1</v>
      </c>
      <c r="AQ6">
        <v>0</v>
      </c>
      <c r="AR6">
        <v>0</v>
      </c>
      <c r="AT6">
        <v>0.0051</v>
      </c>
      <c r="AV6">
        <v>0</v>
      </c>
      <c r="AW6">
        <v>2</v>
      </c>
      <c r="AX6">
        <v>6135227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</row>
    <row r="7" spans="1:75" ht="12.75">
      <c r="A7">
        <f>ROW(Source!A26)</f>
        <v>26</v>
      </c>
      <c r="B7">
        <v>6135224</v>
      </c>
      <c r="C7">
        <v>6135221</v>
      </c>
      <c r="D7">
        <v>5190007</v>
      </c>
      <c r="E7">
        <v>1</v>
      </c>
      <c r="F7">
        <v>1</v>
      </c>
      <c r="G7">
        <v>1</v>
      </c>
      <c r="H7">
        <v>3</v>
      </c>
      <c r="I7" t="s">
        <v>162</v>
      </c>
      <c r="J7" t="s">
        <v>163</v>
      </c>
      <c r="K7" t="s">
        <v>164</v>
      </c>
      <c r="L7">
        <v>1348</v>
      </c>
      <c r="N7">
        <v>1009</v>
      </c>
      <c r="O7" t="s">
        <v>161</v>
      </c>
      <c r="P7" t="s">
        <v>161</v>
      </c>
      <c r="Q7">
        <v>1000</v>
      </c>
      <c r="Y7">
        <v>0.0017</v>
      </c>
      <c r="AA7">
        <v>22015.32</v>
      </c>
      <c r="AB7">
        <v>0</v>
      </c>
      <c r="AC7">
        <v>0</v>
      </c>
      <c r="AD7">
        <v>0</v>
      </c>
      <c r="AN7">
        <v>0</v>
      </c>
      <c r="AO7">
        <v>1</v>
      </c>
      <c r="AP7">
        <v>1</v>
      </c>
      <c r="AQ7">
        <v>0</v>
      </c>
      <c r="AR7">
        <v>0</v>
      </c>
      <c r="AT7">
        <v>0.0017</v>
      </c>
      <c r="AV7">
        <v>0</v>
      </c>
      <c r="AW7">
        <v>2</v>
      </c>
      <c r="AX7">
        <v>6135228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</row>
    <row r="8" spans="1:75" ht="12.75">
      <c r="A8">
        <f>ROW(Source!A26)</f>
        <v>26</v>
      </c>
      <c r="B8">
        <v>6135225</v>
      </c>
      <c r="C8">
        <v>6135221</v>
      </c>
      <c r="D8">
        <v>5191260</v>
      </c>
      <c r="E8">
        <v>1</v>
      </c>
      <c r="F8">
        <v>1</v>
      </c>
      <c r="G8">
        <v>1</v>
      </c>
      <c r="H8">
        <v>3</v>
      </c>
      <c r="I8" t="s">
        <v>165</v>
      </c>
      <c r="J8" t="s">
        <v>166</v>
      </c>
      <c r="K8" t="s">
        <v>167</v>
      </c>
      <c r="L8">
        <v>1346</v>
      </c>
      <c r="N8">
        <v>1009</v>
      </c>
      <c r="O8" t="s">
        <v>168</v>
      </c>
      <c r="P8" t="s">
        <v>168</v>
      </c>
      <c r="Q8">
        <v>1</v>
      </c>
      <c r="Y8">
        <v>1.7</v>
      </c>
      <c r="AA8">
        <v>37.18</v>
      </c>
      <c r="AB8">
        <v>0</v>
      </c>
      <c r="AC8">
        <v>0</v>
      </c>
      <c r="AD8">
        <v>0</v>
      </c>
      <c r="AN8">
        <v>0</v>
      </c>
      <c r="AO8">
        <v>1</v>
      </c>
      <c r="AP8">
        <v>1</v>
      </c>
      <c r="AQ8">
        <v>0</v>
      </c>
      <c r="AR8">
        <v>0</v>
      </c>
      <c r="AT8">
        <v>1.7</v>
      </c>
      <c r="AV8">
        <v>0</v>
      </c>
      <c r="AW8">
        <v>2</v>
      </c>
      <c r="AX8">
        <v>6135229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</row>
    <row r="9" spans="1:75" ht="12.75">
      <c r="A9">
        <f>ROW(Source!A28)</f>
        <v>28</v>
      </c>
      <c r="B9">
        <v>6135233</v>
      </c>
      <c r="C9">
        <v>6135232</v>
      </c>
      <c r="D9">
        <v>4077618</v>
      </c>
      <c r="E9">
        <v>1</v>
      </c>
      <c r="F9">
        <v>1</v>
      </c>
      <c r="G9">
        <v>1</v>
      </c>
      <c r="H9">
        <v>1</v>
      </c>
      <c r="I9" t="s">
        <v>169</v>
      </c>
      <c r="K9" t="s">
        <v>170</v>
      </c>
      <c r="L9">
        <v>1476</v>
      </c>
      <c r="N9">
        <v>1013</v>
      </c>
      <c r="O9" t="s">
        <v>148</v>
      </c>
      <c r="P9" t="s">
        <v>149</v>
      </c>
      <c r="Q9">
        <v>1</v>
      </c>
      <c r="Y9">
        <v>104.8</v>
      </c>
      <c r="AA9">
        <v>0</v>
      </c>
      <c r="AB9">
        <v>0</v>
      </c>
      <c r="AC9">
        <v>0</v>
      </c>
      <c r="AD9">
        <v>9.07</v>
      </c>
      <c r="AN9">
        <v>0</v>
      </c>
      <c r="AO9">
        <v>1</v>
      </c>
      <c r="AP9">
        <v>1</v>
      </c>
      <c r="AQ9">
        <v>0</v>
      </c>
      <c r="AR9">
        <v>0</v>
      </c>
      <c r="AT9">
        <v>52.4</v>
      </c>
      <c r="AU9" t="s">
        <v>36</v>
      </c>
      <c r="AV9">
        <v>1</v>
      </c>
      <c r="AW9">
        <v>2</v>
      </c>
      <c r="AX9">
        <v>6135237</v>
      </c>
      <c r="AY9">
        <v>1</v>
      </c>
      <c r="AZ9">
        <v>0</v>
      </c>
      <c r="BA9">
        <v>10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</row>
    <row r="10" spans="1:75" ht="12.75">
      <c r="A10">
        <f>ROW(Source!A28)</f>
        <v>28</v>
      </c>
      <c r="B10">
        <v>6135234</v>
      </c>
      <c r="C10">
        <v>6135232</v>
      </c>
      <c r="D10">
        <v>121548</v>
      </c>
      <c r="E10">
        <v>1</v>
      </c>
      <c r="F10">
        <v>1</v>
      </c>
      <c r="G10">
        <v>1</v>
      </c>
      <c r="H10">
        <v>1</v>
      </c>
      <c r="I10" t="s">
        <v>22</v>
      </c>
      <c r="K10" t="s">
        <v>171</v>
      </c>
      <c r="L10">
        <v>608254</v>
      </c>
      <c r="N10">
        <v>1013</v>
      </c>
      <c r="O10" t="s">
        <v>172</v>
      </c>
      <c r="P10" t="s">
        <v>172</v>
      </c>
      <c r="Q10">
        <v>1</v>
      </c>
      <c r="Y10">
        <v>0.1</v>
      </c>
      <c r="AA10">
        <v>0</v>
      </c>
      <c r="AB10">
        <v>0</v>
      </c>
      <c r="AC10">
        <v>0</v>
      </c>
      <c r="AD10">
        <v>0</v>
      </c>
      <c r="AN10">
        <v>0</v>
      </c>
      <c r="AO10">
        <v>1</v>
      </c>
      <c r="AP10">
        <v>1</v>
      </c>
      <c r="AQ10">
        <v>0</v>
      </c>
      <c r="AR10">
        <v>0</v>
      </c>
      <c r="AT10">
        <v>0.1</v>
      </c>
      <c r="AV10">
        <v>2</v>
      </c>
      <c r="AW10">
        <v>2</v>
      </c>
      <c r="AX10">
        <v>6135238</v>
      </c>
      <c r="AY10">
        <v>1</v>
      </c>
      <c r="AZ10">
        <v>0</v>
      </c>
      <c r="BA10">
        <v>11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</row>
    <row r="11" spans="1:75" ht="12.75">
      <c r="A11">
        <f>ROW(Source!A28)</f>
        <v>28</v>
      </c>
      <c r="B11">
        <v>6135235</v>
      </c>
      <c r="C11">
        <v>6135232</v>
      </c>
      <c r="D11">
        <v>5232300</v>
      </c>
      <c r="E11">
        <v>1</v>
      </c>
      <c r="F11">
        <v>1</v>
      </c>
      <c r="G11">
        <v>1</v>
      </c>
      <c r="H11">
        <v>2</v>
      </c>
      <c r="I11" t="s">
        <v>173</v>
      </c>
      <c r="J11" t="s">
        <v>174</v>
      </c>
      <c r="K11" t="s">
        <v>175</v>
      </c>
      <c r="L11">
        <v>1368</v>
      </c>
      <c r="N11">
        <v>1011</v>
      </c>
      <c r="O11" t="s">
        <v>176</v>
      </c>
      <c r="P11" t="s">
        <v>176</v>
      </c>
      <c r="Q11">
        <v>1</v>
      </c>
      <c r="Y11">
        <v>0.05</v>
      </c>
      <c r="AA11">
        <v>0</v>
      </c>
      <c r="AB11">
        <v>13.25</v>
      </c>
      <c r="AC11">
        <v>5.91</v>
      </c>
      <c r="AD11">
        <v>0</v>
      </c>
      <c r="AN11">
        <v>0</v>
      </c>
      <c r="AO11">
        <v>1</v>
      </c>
      <c r="AP11">
        <v>1</v>
      </c>
      <c r="AQ11">
        <v>0</v>
      </c>
      <c r="AR11">
        <v>0</v>
      </c>
      <c r="AT11">
        <v>0.05</v>
      </c>
      <c r="AV11">
        <v>0</v>
      </c>
      <c r="AW11">
        <v>2</v>
      </c>
      <c r="AX11">
        <v>6135239</v>
      </c>
      <c r="AY11">
        <v>1</v>
      </c>
      <c r="AZ11">
        <v>0</v>
      </c>
      <c r="BA11">
        <v>12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</row>
    <row r="12" spans="1:75" ht="12.75">
      <c r="A12">
        <f>ROW(Source!A28)</f>
        <v>28</v>
      </c>
      <c r="B12">
        <v>6135236</v>
      </c>
      <c r="C12">
        <v>6135232</v>
      </c>
      <c r="D12">
        <v>5229279</v>
      </c>
      <c r="E12">
        <v>1</v>
      </c>
      <c r="F12">
        <v>1</v>
      </c>
      <c r="G12">
        <v>1</v>
      </c>
      <c r="H12">
        <v>2</v>
      </c>
      <c r="I12" t="s">
        <v>177</v>
      </c>
      <c r="J12" t="s">
        <v>178</v>
      </c>
      <c r="K12" t="s">
        <v>179</v>
      </c>
      <c r="L12">
        <v>1368</v>
      </c>
      <c r="N12">
        <v>1011</v>
      </c>
      <c r="O12" t="s">
        <v>176</v>
      </c>
      <c r="P12" t="s">
        <v>176</v>
      </c>
      <c r="Q12">
        <v>1</v>
      </c>
      <c r="Y12">
        <v>0.05</v>
      </c>
      <c r="AA12">
        <v>0</v>
      </c>
      <c r="AB12">
        <v>60.77</v>
      </c>
      <c r="AC12">
        <v>11.81</v>
      </c>
      <c r="AD12">
        <v>0</v>
      </c>
      <c r="AN12">
        <v>0</v>
      </c>
      <c r="AO12">
        <v>1</v>
      </c>
      <c r="AP12">
        <v>1</v>
      </c>
      <c r="AQ12">
        <v>0</v>
      </c>
      <c r="AR12">
        <v>0</v>
      </c>
      <c r="AT12">
        <v>0.05</v>
      </c>
      <c r="AV12">
        <v>0</v>
      </c>
      <c r="AW12">
        <v>2</v>
      </c>
      <c r="AX12">
        <v>6135240</v>
      </c>
      <c r="AY12">
        <v>1</v>
      </c>
      <c r="AZ12">
        <v>0</v>
      </c>
      <c r="BA12">
        <v>13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</row>
    <row r="13" spans="1:75" ht="12.75">
      <c r="A13">
        <f>ROW(Source!A31)</f>
        <v>31</v>
      </c>
      <c r="B13">
        <v>6135245</v>
      </c>
      <c r="C13">
        <v>6135244</v>
      </c>
      <c r="D13">
        <v>4077388</v>
      </c>
      <c r="E13">
        <v>1</v>
      </c>
      <c r="F13">
        <v>1</v>
      </c>
      <c r="G13">
        <v>1</v>
      </c>
      <c r="H13">
        <v>1</v>
      </c>
      <c r="I13" t="s">
        <v>180</v>
      </c>
      <c r="K13" t="s">
        <v>181</v>
      </c>
      <c r="L13">
        <v>1476</v>
      </c>
      <c r="N13">
        <v>1013</v>
      </c>
      <c r="O13" t="s">
        <v>148</v>
      </c>
      <c r="P13" t="s">
        <v>149</v>
      </c>
      <c r="Q13">
        <v>1</v>
      </c>
      <c r="Y13">
        <v>291.6</v>
      </c>
      <c r="AA13">
        <v>0</v>
      </c>
      <c r="AB13">
        <v>0</v>
      </c>
      <c r="AC13">
        <v>0</v>
      </c>
      <c r="AD13">
        <v>8.62</v>
      </c>
      <c r="AN13">
        <v>0</v>
      </c>
      <c r="AO13">
        <v>1</v>
      </c>
      <c r="AP13">
        <v>1</v>
      </c>
      <c r="AQ13">
        <v>0</v>
      </c>
      <c r="AR13">
        <v>0</v>
      </c>
      <c r="AT13">
        <v>291.6</v>
      </c>
      <c r="AV13">
        <v>1</v>
      </c>
      <c r="AW13">
        <v>2</v>
      </c>
      <c r="AX13">
        <v>6135250</v>
      </c>
      <c r="AY13">
        <v>1</v>
      </c>
      <c r="AZ13">
        <v>0</v>
      </c>
      <c r="BA13">
        <v>15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</row>
    <row r="14" spans="1:75" ht="12.75">
      <c r="A14">
        <f>ROW(Source!A31)</f>
        <v>31</v>
      </c>
      <c r="B14">
        <v>6135246</v>
      </c>
      <c r="C14">
        <v>6135244</v>
      </c>
      <c r="D14">
        <v>5189691</v>
      </c>
      <c r="E14">
        <v>1</v>
      </c>
      <c r="F14">
        <v>1</v>
      </c>
      <c r="G14">
        <v>1</v>
      </c>
      <c r="H14">
        <v>3</v>
      </c>
      <c r="I14" t="s">
        <v>158</v>
      </c>
      <c r="J14" t="s">
        <v>159</v>
      </c>
      <c r="K14" t="s">
        <v>160</v>
      </c>
      <c r="L14">
        <v>1348</v>
      </c>
      <c r="N14">
        <v>1009</v>
      </c>
      <c r="O14" t="s">
        <v>161</v>
      </c>
      <c r="P14" t="s">
        <v>161</v>
      </c>
      <c r="Q14">
        <v>1000</v>
      </c>
      <c r="Y14">
        <v>0.012</v>
      </c>
      <c r="AA14">
        <v>13884.14</v>
      </c>
      <c r="AB14">
        <v>0</v>
      </c>
      <c r="AC14">
        <v>0</v>
      </c>
      <c r="AD14">
        <v>0</v>
      </c>
      <c r="AN14">
        <v>0</v>
      </c>
      <c r="AO14">
        <v>1</v>
      </c>
      <c r="AP14">
        <v>1</v>
      </c>
      <c r="AQ14">
        <v>0</v>
      </c>
      <c r="AR14">
        <v>0</v>
      </c>
      <c r="AT14">
        <v>0.012</v>
      </c>
      <c r="AV14">
        <v>0</v>
      </c>
      <c r="AW14">
        <v>2</v>
      </c>
      <c r="AX14">
        <v>6135251</v>
      </c>
      <c r="AY14">
        <v>1</v>
      </c>
      <c r="AZ14">
        <v>0</v>
      </c>
      <c r="BA14">
        <v>16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</row>
    <row r="15" spans="1:75" ht="12.75">
      <c r="A15">
        <f>ROW(Source!A31)</f>
        <v>31</v>
      </c>
      <c r="B15">
        <v>6135247</v>
      </c>
      <c r="C15">
        <v>6135244</v>
      </c>
      <c r="D15">
        <v>5190007</v>
      </c>
      <c r="E15">
        <v>1</v>
      </c>
      <c r="F15">
        <v>1</v>
      </c>
      <c r="G15">
        <v>1</v>
      </c>
      <c r="H15">
        <v>3</v>
      </c>
      <c r="I15" t="s">
        <v>162</v>
      </c>
      <c r="J15" t="s">
        <v>163</v>
      </c>
      <c r="K15" t="s">
        <v>164</v>
      </c>
      <c r="L15">
        <v>1348</v>
      </c>
      <c r="N15">
        <v>1009</v>
      </c>
      <c r="O15" t="s">
        <v>161</v>
      </c>
      <c r="P15" t="s">
        <v>161</v>
      </c>
      <c r="Q15">
        <v>1000</v>
      </c>
      <c r="Y15">
        <v>0.005</v>
      </c>
      <c r="AA15">
        <v>22015.32</v>
      </c>
      <c r="AB15">
        <v>0</v>
      </c>
      <c r="AC15">
        <v>0</v>
      </c>
      <c r="AD15">
        <v>0</v>
      </c>
      <c r="AN15">
        <v>0</v>
      </c>
      <c r="AO15">
        <v>1</v>
      </c>
      <c r="AP15">
        <v>1</v>
      </c>
      <c r="AQ15">
        <v>0</v>
      </c>
      <c r="AR15">
        <v>0</v>
      </c>
      <c r="AT15">
        <v>0.005</v>
      </c>
      <c r="AV15">
        <v>0</v>
      </c>
      <c r="AW15">
        <v>2</v>
      </c>
      <c r="AX15">
        <v>6135252</v>
      </c>
      <c r="AY15">
        <v>1</v>
      </c>
      <c r="AZ15">
        <v>0</v>
      </c>
      <c r="BA15">
        <v>17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</row>
    <row r="16" spans="1:75" ht="12.75">
      <c r="A16">
        <f>ROW(Source!A31)</f>
        <v>31</v>
      </c>
      <c r="B16">
        <v>6135248</v>
      </c>
      <c r="C16">
        <v>6135244</v>
      </c>
      <c r="D16">
        <v>5191260</v>
      </c>
      <c r="E16">
        <v>1</v>
      </c>
      <c r="F16">
        <v>1</v>
      </c>
      <c r="G16">
        <v>1</v>
      </c>
      <c r="H16">
        <v>3</v>
      </c>
      <c r="I16" t="s">
        <v>165</v>
      </c>
      <c r="J16" t="s">
        <v>166</v>
      </c>
      <c r="K16" t="s">
        <v>167</v>
      </c>
      <c r="L16">
        <v>1346</v>
      </c>
      <c r="N16">
        <v>1009</v>
      </c>
      <c r="O16" t="s">
        <v>168</v>
      </c>
      <c r="P16" t="s">
        <v>168</v>
      </c>
      <c r="Q16">
        <v>1</v>
      </c>
      <c r="Y16">
        <v>5</v>
      </c>
      <c r="AA16">
        <v>37.18</v>
      </c>
      <c r="AB16">
        <v>0</v>
      </c>
      <c r="AC16">
        <v>0</v>
      </c>
      <c r="AD16">
        <v>0</v>
      </c>
      <c r="AN16">
        <v>0</v>
      </c>
      <c r="AO16">
        <v>1</v>
      </c>
      <c r="AP16">
        <v>1</v>
      </c>
      <c r="AQ16">
        <v>0</v>
      </c>
      <c r="AR16">
        <v>0</v>
      </c>
      <c r="AT16">
        <v>5</v>
      </c>
      <c r="AV16">
        <v>0</v>
      </c>
      <c r="AW16">
        <v>2</v>
      </c>
      <c r="AX16">
        <v>6135253</v>
      </c>
      <c r="AY16">
        <v>1</v>
      </c>
      <c r="AZ16">
        <v>0</v>
      </c>
      <c r="BA16">
        <v>18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</row>
    <row r="17" spans="1:75" ht="12.75">
      <c r="A17">
        <f>ROW(Source!A31)</f>
        <v>31</v>
      </c>
      <c r="B17">
        <v>6135249</v>
      </c>
      <c r="C17">
        <v>6135244</v>
      </c>
      <c r="D17">
        <v>5212126</v>
      </c>
      <c r="E17">
        <v>1</v>
      </c>
      <c r="F17">
        <v>1</v>
      </c>
      <c r="G17">
        <v>1</v>
      </c>
      <c r="H17">
        <v>3</v>
      </c>
      <c r="I17" t="s">
        <v>182</v>
      </c>
      <c r="J17" t="s">
        <v>183</v>
      </c>
      <c r="K17" t="s">
        <v>184</v>
      </c>
      <c r="L17">
        <v>1339</v>
      </c>
      <c r="N17">
        <v>1007</v>
      </c>
      <c r="O17" t="s">
        <v>185</v>
      </c>
      <c r="P17" t="s">
        <v>185</v>
      </c>
      <c r="Q17">
        <v>1</v>
      </c>
      <c r="Y17">
        <v>4.2</v>
      </c>
      <c r="AA17">
        <v>3.2</v>
      </c>
      <c r="AB17">
        <v>0</v>
      </c>
      <c r="AC17">
        <v>0</v>
      </c>
      <c r="AD17">
        <v>0</v>
      </c>
      <c r="AN17">
        <v>0</v>
      </c>
      <c r="AO17">
        <v>1</v>
      </c>
      <c r="AP17">
        <v>1</v>
      </c>
      <c r="AQ17">
        <v>0</v>
      </c>
      <c r="AR17">
        <v>0</v>
      </c>
      <c r="AT17">
        <v>4.2</v>
      </c>
      <c r="AV17">
        <v>0</v>
      </c>
      <c r="AW17">
        <v>2</v>
      </c>
      <c r="AX17">
        <v>6135254</v>
      </c>
      <c r="AY17">
        <v>1</v>
      </c>
      <c r="AZ17">
        <v>0</v>
      </c>
      <c r="BA17">
        <v>19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</row>
    <row r="18" spans="1:75" ht="12.75">
      <c r="A18">
        <f>ROW(Source!A32)</f>
        <v>32</v>
      </c>
      <c r="B18">
        <v>6135256</v>
      </c>
      <c r="C18">
        <v>6135255</v>
      </c>
      <c r="D18">
        <v>4077331</v>
      </c>
      <c r="E18">
        <v>1</v>
      </c>
      <c r="F18">
        <v>1</v>
      </c>
      <c r="G18">
        <v>1</v>
      </c>
      <c r="H18">
        <v>1</v>
      </c>
      <c r="I18" t="s">
        <v>156</v>
      </c>
      <c r="K18" t="s">
        <v>157</v>
      </c>
      <c r="L18">
        <v>1476</v>
      </c>
      <c r="N18">
        <v>1013</v>
      </c>
      <c r="O18" t="s">
        <v>148</v>
      </c>
      <c r="P18" t="s">
        <v>149</v>
      </c>
      <c r="Q18">
        <v>1</v>
      </c>
      <c r="Y18">
        <v>23.7</v>
      </c>
      <c r="AA18">
        <v>0</v>
      </c>
      <c r="AB18">
        <v>0</v>
      </c>
      <c r="AC18">
        <v>0</v>
      </c>
      <c r="AD18">
        <v>8.52</v>
      </c>
      <c r="AN18">
        <v>0</v>
      </c>
      <c r="AO18">
        <v>1</v>
      </c>
      <c r="AP18">
        <v>1</v>
      </c>
      <c r="AQ18">
        <v>0</v>
      </c>
      <c r="AR18">
        <v>0</v>
      </c>
      <c r="AT18">
        <v>23.7</v>
      </c>
      <c r="AV18">
        <v>1</v>
      </c>
      <c r="AW18">
        <v>2</v>
      </c>
      <c r="AX18">
        <v>6135257</v>
      </c>
      <c r="AY18">
        <v>1</v>
      </c>
      <c r="AZ18">
        <v>0</v>
      </c>
      <c r="BA18">
        <v>20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R20"/>
  <sheetViews>
    <sheetView workbookViewId="0" topLeftCell="A1">
      <selection activeCell="A1" sqref="A1"/>
    </sheetView>
  </sheetViews>
  <sheetFormatPr defaultColWidth="9.140625" defaultRowHeight="12.75"/>
  <sheetData>
    <row r="1" spans="1:44" ht="12.75">
      <c r="A1">
        <f>ROW(Source!A24)</f>
        <v>24</v>
      </c>
      <c r="B1">
        <v>6135215</v>
      </c>
      <c r="C1">
        <v>6135211</v>
      </c>
      <c r="D1">
        <v>4079236</v>
      </c>
      <c r="E1">
        <v>1</v>
      </c>
      <c r="F1">
        <v>1</v>
      </c>
      <c r="G1">
        <v>1</v>
      </c>
      <c r="H1">
        <v>1</v>
      </c>
      <c r="I1" t="s">
        <v>146</v>
      </c>
      <c r="K1" t="s">
        <v>147</v>
      </c>
      <c r="L1">
        <v>1476</v>
      </c>
      <c r="N1">
        <v>1013</v>
      </c>
      <c r="O1" t="s">
        <v>148</v>
      </c>
      <c r="P1" t="s">
        <v>149</v>
      </c>
      <c r="Q1">
        <v>1</v>
      </c>
      <c r="X1">
        <v>11</v>
      </c>
      <c r="Y1">
        <v>0</v>
      </c>
      <c r="Z1">
        <v>0</v>
      </c>
      <c r="AA1">
        <v>0</v>
      </c>
      <c r="AB1">
        <v>14.66</v>
      </c>
      <c r="AC1">
        <v>0</v>
      </c>
      <c r="AD1">
        <v>1</v>
      </c>
      <c r="AE1">
        <v>1</v>
      </c>
      <c r="AF1" t="s">
        <v>18</v>
      </c>
      <c r="AG1">
        <v>12.65</v>
      </c>
      <c r="AH1">
        <v>2</v>
      </c>
      <c r="AI1">
        <v>6135212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ht="12.75">
      <c r="A2">
        <f>ROW(Source!A24)</f>
        <v>24</v>
      </c>
      <c r="B2">
        <v>6135216</v>
      </c>
      <c r="C2">
        <v>6135211</v>
      </c>
      <c r="D2">
        <v>4079261</v>
      </c>
      <c r="E2">
        <v>1</v>
      </c>
      <c r="F2">
        <v>1</v>
      </c>
      <c r="G2">
        <v>1</v>
      </c>
      <c r="H2">
        <v>1</v>
      </c>
      <c r="I2" t="s">
        <v>150</v>
      </c>
      <c r="K2" t="s">
        <v>151</v>
      </c>
      <c r="L2">
        <v>1476</v>
      </c>
      <c r="N2">
        <v>1013</v>
      </c>
      <c r="O2" t="s">
        <v>148</v>
      </c>
      <c r="P2" t="s">
        <v>149</v>
      </c>
      <c r="Q2">
        <v>1</v>
      </c>
      <c r="X2">
        <v>5.5</v>
      </c>
      <c r="Y2">
        <v>0</v>
      </c>
      <c r="Z2">
        <v>0</v>
      </c>
      <c r="AA2">
        <v>0</v>
      </c>
      <c r="AB2">
        <v>14.26</v>
      </c>
      <c r="AC2">
        <v>0</v>
      </c>
      <c r="AD2">
        <v>1</v>
      </c>
      <c r="AE2">
        <v>1</v>
      </c>
      <c r="AF2" t="s">
        <v>18</v>
      </c>
      <c r="AG2">
        <v>6.325</v>
      </c>
      <c r="AH2">
        <v>2</v>
      </c>
      <c r="AI2">
        <v>6135213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ht="12.75">
      <c r="A3">
        <f>ROW(Source!A24)</f>
        <v>24</v>
      </c>
      <c r="B3">
        <v>6135217</v>
      </c>
      <c r="C3">
        <v>6135211</v>
      </c>
      <c r="D3">
        <v>4079283</v>
      </c>
      <c r="E3">
        <v>1</v>
      </c>
      <c r="F3">
        <v>1</v>
      </c>
      <c r="G3">
        <v>1</v>
      </c>
      <c r="H3">
        <v>1</v>
      </c>
      <c r="I3" t="s">
        <v>152</v>
      </c>
      <c r="K3" t="s">
        <v>153</v>
      </c>
      <c r="L3">
        <v>1476</v>
      </c>
      <c r="N3">
        <v>1013</v>
      </c>
      <c r="O3" t="s">
        <v>148</v>
      </c>
      <c r="P3" t="s">
        <v>149</v>
      </c>
      <c r="Q3">
        <v>1</v>
      </c>
      <c r="X3">
        <v>5.5</v>
      </c>
      <c r="Y3">
        <v>0</v>
      </c>
      <c r="Z3">
        <v>0</v>
      </c>
      <c r="AA3">
        <v>0</v>
      </c>
      <c r="AB3">
        <v>13.37</v>
      </c>
      <c r="AC3">
        <v>0</v>
      </c>
      <c r="AD3">
        <v>1</v>
      </c>
      <c r="AE3">
        <v>1</v>
      </c>
      <c r="AF3" t="s">
        <v>18</v>
      </c>
      <c r="AG3">
        <v>6.325</v>
      </c>
      <c r="AH3">
        <v>2</v>
      </c>
      <c r="AI3">
        <v>6135214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ht="12.75">
      <c r="A4">
        <f>ROW(Source!A25)</f>
        <v>25</v>
      </c>
      <c r="B4">
        <v>6135220</v>
      </c>
      <c r="C4">
        <v>6135218</v>
      </c>
      <c r="D4">
        <v>4076602</v>
      </c>
      <c r="E4">
        <v>1</v>
      </c>
      <c r="F4">
        <v>1</v>
      </c>
      <c r="G4">
        <v>1</v>
      </c>
      <c r="H4">
        <v>1</v>
      </c>
      <c r="I4" t="s">
        <v>154</v>
      </c>
      <c r="K4" t="s">
        <v>155</v>
      </c>
      <c r="L4">
        <v>1476</v>
      </c>
      <c r="N4">
        <v>1013</v>
      </c>
      <c r="O4" t="s">
        <v>148</v>
      </c>
      <c r="P4" t="s">
        <v>149</v>
      </c>
      <c r="Q4">
        <v>1</v>
      </c>
      <c r="X4">
        <v>0.41</v>
      </c>
      <c r="Y4">
        <v>0</v>
      </c>
      <c r="Z4">
        <v>0</v>
      </c>
      <c r="AA4">
        <v>0</v>
      </c>
      <c r="AB4">
        <v>7.6</v>
      </c>
      <c r="AC4">
        <v>0</v>
      </c>
      <c r="AD4">
        <v>1</v>
      </c>
      <c r="AE4">
        <v>1</v>
      </c>
      <c r="AG4">
        <v>0.41</v>
      </c>
      <c r="AH4">
        <v>2</v>
      </c>
      <c r="AI4">
        <v>6135219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ht="12.75">
      <c r="A5">
        <f>ROW(Source!A26)</f>
        <v>26</v>
      </c>
      <c r="B5">
        <v>6135226</v>
      </c>
      <c r="C5">
        <v>6135221</v>
      </c>
      <c r="D5">
        <v>4077331</v>
      </c>
      <c r="E5">
        <v>1</v>
      </c>
      <c r="F5">
        <v>1</v>
      </c>
      <c r="G5">
        <v>1</v>
      </c>
      <c r="H5">
        <v>1</v>
      </c>
      <c r="I5" t="s">
        <v>156</v>
      </c>
      <c r="K5" t="s">
        <v>157</v>
      </c>
      <c r="L5">
        <v>1476</v>
      </c>
      <c r="N5">
        <v>1013</v>
      </c>
      <c r="O5" t="s">
        <v>148</v>
      </c>
      <c r="P5" t="s">
        <v>149</v>
      </c>
      <c r="Q5">
        <v>1</v>
      </c>
      <c r="X5">
        <v>100.8</v>
      </c>
      <c r="Y5">
        <v>0</v>
      </c>
      <c r="Z5">
        <v>0</v>
      </c>
      <c r="AA5">
        <v>0</v>
      </c>
      <c r="AB5">
        <v>8.52</v>
      </c>
      <c r="AC5">
        <v>0</v>
      </c>
      <c r="AD5">
        <v>1</v>
      </c>
      <c r="AE5">
        <v>1</v>
      </c>
      <c r="AF5" t="s">
        <v>36</v>
      </c>
      <c r="AG5">
        <v>201.6</v>
      </c>
      <c r="AH5">
        <v>2</v>
      </c>
      <c r="AI5">
        <v>6135222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ht="12.75">
      <c r="A6">
        <f>ROW(Source!A26)</f>
        <v>26</v>
      </c>
      <c r="B6">
        <v>6135227</v>
      </c>
      <c r="C6">
        <v>6135221</v>
      </c>
      <c r="D6">
        <v>5189691</v>
      </c>
      <c r="E6">
        <v>1</v>
      </c>
      <c r="F6">
        <v>1</v>
      </c>
      <c r="G6">
        <v>1</v>
      </c>
      <c r="H6">
        <v>3</v>
      </c>
      <c r="I6" t="s">
        <v>158</v>
      </c>
      <c r="J6" t="s">
        <v>159</v>
      </c>
      <c r="K6" t="s">
        <v>160</v>
      </c>
      <c r="L6">
        <v>1348</v>
      </c>
      <c r="N6">
        <v>1009</v>
      </c>
      <c r="O6" t="s">
        <v>161</v>
      </c>
      <c r="P6" t="s">
        <v>161</v>
      </c>
      <c r="Q6">
        <v>1000</v>
      </c>
      <c r="X6">
        <v>0.0051</v>
      </c>
      <c r="Y6">
        <v>13884.14</v>
      </c>
      <c r="Z6">
        <v>0</v>
      </c>
      <c r="AA6">
        <v>0</v>
      </c>
      <c r="AB6">
        <v>0</v>
      </c>
      <c r="AC6">
        <v>0</v>
      </c>
      <c r="AD6">
        <v>1</v>
      </c>
      <c r="AE6">
        <v>0</v>
      </c>
      <c r="AG6">
        <v>0.0051</v>
      </c>
      <c r="AH6">
        <v>2</v>
      </c>
      <c r="AI6">
        <v>6135223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ht="12.75">
      <c r="A7">
        <f>ROW(Source!A26)</f>
        <v>26</v>
      </c>
      <c r="B7">
        <v>6135228</v>
      </c>
      <c r="C7">
        <v>6135221</v>
      </c>
      <c r="D7">
        <v>5190007</v>
      </c>
      <c r="E7">
        <v>1</v>
      </c>
      <c r="F7">
        <v>1</v>
      </c>
      <c r="G7">
        <v>1</v>
      </c>
      <c r="H7">
        <v>3</v>
      </c>
      <c r="I7" t="s">
        <v>162</v>
      </c>
      <c r="J7" t="s">
        <v>163</v>
      </c>
      <c r="K7" t="s">
        <v>164</v>
      </c>
      <c r="L7">
        <v>1348</v>
      </c>
      <c r="N7">
        <v>1009</v>
      </c>
      <c r="O7" t="s">
        <v>161</v>
      </c>
      <c r="P7" t="s">
        <v>161</v>
      </c>
      <c r="Q7">
        <v>1000</v>
      </c>
      <c r="X7">
        <v>0.0017</v>
      </c>
      <c r="Y7">
        <v>22015.32</v>
      </c>
      <c r="Z7">
        <v>0</v>
      </c>
      <c r="AA7">
        <v>0</v>
      </c>
      <c r="AB7">
        <v>0</v>
      </c>
      <c r="AC7">
        <v>0</v>
      </c>
      <c r="AD7">
        <v>1</v>
      </c>
      <c r="AE7">
        <v>0</v>
      </c>
      <c r="AG7">
        <v>0.0017</v>
      </c>
      <c r="AH7">
        <v>2</v>
      </c>
      <c r="AI7">
        <v>6135224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ht="12.75">
      <c r="A8">
        <f>ROW(Source!A26)</f>
        <v>26</v>
      </c>
      <c r="B8">
        <v>6135229</v>
      </c>
      <c r="C8">
        <v>6135221</v>
      </c>
      <c r="D8">
        <v>5191260</v>
      </c>
      <c r="E8">
        <v>1</v>
      </c>
      <c r="F8">
        <v>1</v>
      </c>
      <c r="G8">
        <v>1</v>
      </c>
      <c r="H8">
        <v>3</v>
      </c>
      <c r="I8" t="s">
        <v>165</v>
      </c>
      <c r="J8" t="s">
        <v>166</v>
      </c>
      <c r="K8" t="s">
        <v>167</v>
      </c>
      <c r="L8">
        <v>1346</v>
      </c>
      <c r="N8">
        <v>1009</v>
      </c>
      <c r="O8" t="s">
        <v>168</v>
      </c>
      <c r="P8" t="s">
        <v>168</v>
      </c>
      <c r="Q8">
        <v>1</v>
      </c>
      <c r="X8">
        <v>1.7</v>
      </c>
      <c r="Y8">
        <v>37.18</v>
      </c>
      <c r="Z8">
        <v>0</v>
      </c>
      <c r="AA8">
        <v>0</v>
      </c>
      <c r="AB8">
        <v>0</v>
      </c>
      <c r="AC8">
        <v>0</v>
      </c>
      <c r="AD8">
        <v>1</v>
      </c>
      <c r="AE8">
        <v>0</v>
      </c>
      <c r="AG8">
        <v>1.7</v>
      </c>
      <c r="AH8">
        <v>2</v>
      </c>
      <c r="AI8">
        <v>6135225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ht="12.75">
      <c r="A9">
        <f>ROW(Source!A26)</f>
        <v>26</v>
      </c>
      <c r="B9">
        <v>6135230</v>
      </c>
      <c r="C9">
        <v>6135221</v>
      </c>
      <c r="D9">
        <v>5198730</v>
      </c>
      <c r="E9">
        <v>1</v>
      </c>
      <c r="F9">
        <v>1</v>
      </c>
      <c r="G9">
        <v>1</v>
      </c>
      <c r="H9">
        <v>3</v>
      </c>
      <c r="I9" t="s">
        <v>39</v>
      </c>
      <c r="J9" t="s">
        <v>42</v>
      </c>
      <c r="K9" t="s">
        <v>40</v>
      </c>
      <c r="L9">
        <v>1354</v>
      </c>
      <c r="N9">
        <v>1010</v>
      </c>
      <c r="O9" t="s">
        <v>41</v>
      </c>
      <c r="P9" t="s">
        <v>41</v>
      </c>
      <c r="Q9">
        <v>1</v>
      </c>
      <c r="X9">
        <v>100</v>
      </c>
      <c r="Y9">
        <v>29.23</v>
      </c>
      <c r="Z9">
        <v>0</v>
      </c>
      <c r="AA9">
        <v>0</v>
      </c>
      <c r="AB9">
        <v>0</v>
      </c>
      <c r="AC9">
        <v>0</v>
      </c>
      <c r="AD9">
        <v>1</v>
      </c>
      <c r="AE9">
        <v>0</v>
      </c>
      <c r="AG9">
        <v>100</v>
      </c>
      <c r="AH9">
        <v>3</v>
      </c>
      <c r="AI9">
        <v>-1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ht="12.75">
      <c r="A10">
        <f>ROW(Source!A28)</f>
        <v>28</v>
      </c>
      <c r="B10">
        <v>6135237</v>
      </c>
      <c r="C10">
        <v>6135232</v>
      </c>
      <c r="D10">
        <v>4077618</v>
      </c>
      <c r="E10">
        <v>1</v>
      </c>
      <c r="F10">
        <v>1</v>
      </c>
      <c r="G10">
        <v>1</v>
      </c>
      <c r="H10">
        <v>1</v>
      </c>
      <c r="I10" t="s">
        <v>169</v>
      </c>
      <c r="K10" t="s">
        <v>170</v>
      </c>
      <c r="L10">
        <v>1476</v>
      </c>
      <c r="N10">
        <v>1013</v>
      </c>
      <c r="O10" t="s">
        <v>148</v>
      </c>
      <c r="P10" t="s">
        <v>149</v>
      </c>
      <c r="Q10">
        <v>1</v>
      </c>
      <c r="X10">
        <v>52.4</v>
      </c>
      <c r="Y10">
        <v>0</v>
      </c>
      <c r="Z10">
        <v>0</v>
      </c>
      <c r="AA10">
        <v>0</v>
      </c>
      <c r="AB10">
        <v>9.07</v>
      </c>
      <c r="AC10">
        <v>0</v>
      </c>
      <c r="AD10">
        <v>1</v>
      </c>
      <c r="AE10">
        <v>1</v>
      </c>
      <c r="AF10" t="s">
        <v>36</v>
      </c>
      <c r="AG10">
        <v>104.8</v>
      </c>
      <c r="AH10">
        <v>2</v>
      </c>
      <c r="AI10">
        <v>6135233</v>
      </c>
      <c r="AJ10">
        <v>9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ht="12.75">
      <c r="A11">
        <f>ROW(Source!A28)</f>
        <v>28</v>
      </c>
      <c r="B11">
        <v>6135238</v>
      </c>
      <c r="C11">
        <v>6135232</v>
      </c>
      <c r="D11">
        <v>121548</v>
      </c>
      <c r="E11">
        <v>1</v>
      </c>
      <c r="F11">
        <v>1</v>
      </c>
      <c r="G11">
        <v>1</v>
      </c>
      <c r="H11">
        <v>1</v>
      </c>
      <c r="I11" t="s">
        <v>22</v>
      </c>
      <c r="K11" t="s">
        <v>171</v>
      </c>
      <c r="L11">
        <v>608254</v>
      </c>
      <c r="N11">
        <v>1013</v>
      </c>
      <c r="O11" t="s">
        <v>172</v>
      </c>
      <c r="P11" t="s">
        <v>172</v>
      </c>
      <c r="Q11">
        <v>1</v>
      </c>
      <c r="X11">
        <v>0.1</v>
      </c>
      <c r="Y11">
        <v>0</v>
      </c>
      <c r="Z11">
        <v>0</v>
      </c>
      <c r="AA11">
        <v>0</v>
      </c>
      <c r="AB11">
        <v>0</v>
      </c>
      <c r="AC11">
        <v>0</v>
      </c>
      <c r="AD11">
        <v>1</v>
      </c>
      <c r="AE11">
        <v>2</v>
      </c>
      <c r="AG11">
        <v>0.1</v>
      </c>
      <c r="AH11">
        <v>2</v>
      </c>
      <c r="AI11">
        <v>6135234</v>
      </c>
      <c r="AJ11">
        <v>10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ht="12.75">
      <c r="A12">
        <f>ROW(Source!A28)</f>
        <v>28</v>
      </c>
      <c r="B12">
        <v>6135239</v>
      </c>
      <c r="C12">
        <v>6135232</v>
      </c>
      <c r="D12">
        <v>5232300</v>
      </c>
      <c r="E12">
        <v>1</v>
      </c>
      <c r="F12">
        <v>1</v>
      </c>
      <c r="G12">
        <v>1</v>
      </c>
      <c r="H12">
        <v>2</v>
      </c>
      <c r="I12" t="s">
        <v>173</v>
      </c>
      <c r="J12" t="s">
        <v>174</v>
      </c>
      <c r="K12" t="s">
        <v>175</v>
      </c>
      <c r="L12">
        <v>1368</v>
      </c>
      <c r="N12">
        <v>1011</v>
      </c>
      <c r="O12" t="s">
        <v>176</v>
      </c>
      <c r="P12" t="s">
        <v>176</v>
      </c>
      <c r="Q12">
        <v>1</v>
      </c>
      <c r="X12">
        <v>0.05</v>
      </c>
      <c r="Y12">
        <v>0</v>
      </c>
      <c r="Z12">
        <v>13.25</v>
      </c>
      <c r="AA12">
        <v>5.91</v>
      </c>
      <c r="AB12">
        <v>0</v>
      </c>
      <c r="AC12">
        <v>0</v>
      </c>
      <c r="AD12">
        <v>1</v>
      </c>
      <c r="AE12">
        <v>0</v>
      </c>
      <c r="AG12">
        <v>0.05</v>
      </c>
      <c r="AH12">
        <v>2</v>
      </c>
      <c r="AI12">
        <v>6135235</v>
      </c>
      <c r="AJ12">
        <v>11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ht="12.75">
      <c r="A13">
        <f>ROW(Source!A28)</f>
        <v>28</v>
      </c>
      <c r="B13">
        <v>6135240</v>
      </c>
      <c r="C13">
        <v>6135232</v>
      </c>
      <c r="D13">
        <v>5229279</v>
      </c>
      <c r="E13">
        <v>1</v>
      </c>
      <c r="F13">
        <v>1</v>
      </c>
      <c r="G13">
        <v>1</v>
      </c>
      <c r="H13">
        <v>2</v>
      </c>
      <c r="I13" t="s">
        <v>177</v>
      </c>
      <c r="J13" t="s">
        <v>178</v>
      </c>
      <c r="K13" t="s">
        <v>179</v>
      </c>
      <c r="L13">
        <v>1368</v>
      </c>
      <c r="N13">
        <v>1011</v>
      </c>
      <c r="O13" t="s">
        <v>176</v>
      </c>
      <c r="P13" t="s">
        <v>176</v>
      </c>
      <c r="Q13">
        <v>1</v>
      </c>
      <c r="X13">
        <v>0.05</v>
      </c>
      <c r="Y13">
        <v>0</v>
      </c>
      <c r="Z13">
        <v>60.77</v>
      </c>
      <c r="AA13">
        <v>11.81</v>
      </c>
      <c r="AB13">
        <v>0</v>
      </c>
      <c r="AC13">
        <v>0</v>
      </c>
      <c r="AD13">
        <v>1</v>
      </c>
      <c r="AE13">
        <v>0</v>
      </c>
      <c r="AG13">
        <v>0.05</v>
      </c>
      <c r="AH13">
        <v>2</v>
      </c>
      <c r="AI13">
        <v>6135236</v>
      </c>
      <c r="AJ13">
        <v>12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ht="12.75">
      <c r="A14">
        <f>ROW(Source!A28)</f>
        <v>28</v>
      </c>
      <c r="B14">
        <v>6135241</v>
      </c>
      <c r="C14">
        <v>6135232</v>
      </c>
      <c r="D14">
        <v>5199706</v>
      </c>
      <c r="E14">
        <v>1</v>
      </c>
      <c r="F14">
        <v>1</v>
      </c>
      <c r="G14">
        <v>1</v>
      </c>
      <c r="H14">
        <v>3</v>
      </c>
      <c r="I14" t="s">
        <v>52</v>
      </c>
      <c r="J14" t="s">
        <v>54</v>
      </c>
      <c r="K14" t="s">
        <v>53</v>
      </c>
      <c r="L14">
        <v>1354</v>
      </c>
      <c r="N14">
        <v>1010</v>
      </c>
      <c r="O14" t="s">
        <v>41</v>
      </c>
      <c r="P14" t="s">
        <v>41</v>
      </c>
      <c r="Q14">
        <v>1</v>
      </c>
      <c r="X14">
        <v>100</v>
      </c>
      <c r="Y14">
        <v>9.22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0</v>
      </c>
      <c r="AG14">
        <v>100</v>
      </c>
      <c r="AH14">
        <v>3</v>
      </c>
      <c r="AI14">
        <v>-1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ht="12.75">
      <c r="A15">
        <f>ROW(Source!A31)</f>
        <v>31</v>
      </c>
      <c r="B15">
        <v>6135250</v>
      </c>
      <c r="C15">
        <v>6135244</v>
      </c>
      <c r="D15">
        <v>4077388</v>
      </c>
      <c r="E15">
        <v>1</v>
      </c>
      <c r="F15">
        <v>1</v>
      </c>
      <c r="G15">
        <v>1</v>
      </c>
      <c r="H15">
        <v>1</v>
      </c>
      <c r="I15" t="s">
        <v>180</v>
      </c>
      <c r="K15" t="s">
        <v>181</v>
      </c>
      <c r="L15">
        <v>1476</v>
      </c>
      <c r="N15">
        <v>1013</v>
      </c>
      <c r="O15" t="s">
        <v>148</v>
      </c>
      <c r="P15" t="s">
        <v>149</v>
      </c>
      <c r="Q15">
        <v>1</v>
      </c>
      <c r="X15">
        <v>291.6</v>
      </c>
      <c r="Y15">
        <v>0</v>
      </c>
      <c r="Z15">
        <v>0</v>
      </c>
      <c r="AA15">
        <v>0</v>
      </c>
      <c r="AB15">
        <v>8.62</v>
      </c>
      <c r="AC15">
        <v>0</v>
      </c>
      <c r="AD15">
        <v>1</v>
      </c>
      <c r="AE15">
        <v>1</v>
      </c>
      <c r="AG15">
        <v>291.6</v>
      </c>
      <c r="AH15">
        <v>2</v>
      </c>
      <c r="AI15">
        <v>6135245</v>
      </c>
      <c r="AJ15">
        <v>13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ht="12.75">
      <c r="A16">
        <f>ROW(Source!A31)</f>
        <v>31</v>
      </c>
      <c r="B16">
        <v>6135251</v>
      </c>
      <c r="C16">
        <v>6135244</v>
      </c>
      <c r="D16">
        <v>5189691</v>
      </c>
      <c r="E16">
        <v>1</v>
      </c>
      <c r="F16">
        <v>1</v>
      </c>
      <c r="G16">
        <v>1</v>
      </c>
      <c r="H16">
        <v>3</v>
      </c>
      <c r="I16" t="s">
        <v>158</v>
      </c>
      <c r="J16" t="s">
        <v>159</v>
      </c>
      <c r="K16" t="s">
        <v>160</v>
      </c>
      <c r="L16">
        <v>1348</v>
      </c>
      <c r="N16">
        <v>1009</v>
      </c>
      <c r="O16" t="s">
        <v>161</v>
      </c>
      <c r="P16" t="s">
        <v>161</v>
      </c>
      <c r="Q16">
        <v>1000</v>
      </c>
      <c r="X16">
        <v>0.012</v>
      </c>
      <c r="Y16">
        <v>13884.14</v>
      </c>
      <c r="Z16">
        <v>0</v>
      </c>
      <c r="AA16">
        <v>0</v>
      </c>
      <c r="AB16">
        <v>0</v>
      </c>
      <c r="AC16">
        <v>0</v>
      </c>
      <c r="AD16">
        <v>1</v>
      </c>
      <c r="AE16">
        <v>0</v>
      </c>
      <c r="AG16">
        <v>0.012</v>
      </c>
      <c r="AH16">
        <v>2</v>
      </c>
      <c r="AI16">
        <v>6135246</v>
      </c>
      <c r="AJ16">
        <v>14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ht="12.75">
      <c r="A17">
        <f>ROW(Source!A31)</f>
        <v>31</v>
      </c>
      <c r="B17">
        <v>6135252</v>
      </c>
      <c r="C17">
        <v>6135244</v>
      </c>
      <c r="D17">
        <v>5190007</v>
      </c>
      <c r="E17">
        <v>1</v>
      </c>
      <c r="F17">
        <v>1</v>
      </c>
      <c r="G17">
        <v>1</v>
      </c>
      <c r="H17">
        <v>3</v>
      </c>
      <c r="I17" t="s">
        <v>162</v>
      </c>
      <c r="J17" t="s">
        <v>163</v>
      </c>
      <c r="K17" t="s">
        <v>164</v>
      </c>
      <c r="L17">
        <v>1348</v>
      </c>
      <c r="N17">
        <v>1009</v>
      </c>
      <c r="O17" t="s">
        <v>161</v>
      </c>
      <c r="P17" t="s">
        <v>161</v>
      </c>
      <c r="Q17">
        <v>1000</v>
      </c>
      <c r="X17">
        <v>0.005</v>
      </c>
      <c r="Y17">
        <v>22015.32</v>
      </c>
      <c r="Z17">
        <v>0</v>
      </c>
      <c r="AA17">
        <v>0</v>
      </c>
      <c r="AB17">
        <v>0</v>
      </c>
      <c r="AC17">
        <v>0</v>
      </c>
      <c r="AD17">
        <v>1</v>
      </c>
      <c r="AE17">
        <v>0</v>
      </c>
      <c r="AG17">
        <v>0.005</v>
      </c>
      <c r="AH17">
        <v>2</v>
      </c>
      <c r="AI17">
        <v>6135247</v>
      </c>
      <c r="AJ17">
        <v>15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ht="12.75">
      <c r="A18">
        <f>ROW(Source!A31)</f>
        <v>31</v>
      </c>
      <c r="B18">
        <v>6135253</v>
      </c>
      <c r="C18">
        <v>6135244</v>
      </c>
      <c r="D18">
        <v>5191260</v>
      </c>
      <c r="E18">
        <v>1</v>
      </c>
      <c r="F18">
        <v>1</v>
      </c>
      <c r="G18">
        <v>1</v>
      </c>
      <c r="H18">
        <v>3</v>
      </c>
      <c r="I18" t="s">
        <v>165</v>
      </c>
      <c r="J18" t="s">
        <v>166</v>
      </c>
      <c r="K18" t="s">
        <v>167</v>
      </c>
      <c r="L18">
        <v>1346</v>
      </c>
      <c r="N18">
        <v>1009</v>
      </c>
      <c r="O18" t="s">
        <v>168</v>
      </c>
      <c r="P18" t="s">
        <v>168</v>
      </c>
      <c r="Q18">
        <v>1</v>
      </c>
      <c r="X18">
        <v>5</v>
      </c>
      <c r="Y18">
        <v>37.18</v>
      </c>
      <c r="Z18">
        <v>0</v>
      </c>
      <c r="AA18">
        <v>0</v>
      </c>
      <c r="AB18">
        <v>0</v>
      </c>
      <c r="AC18">
        <v>0</v>
      </c>
      <c r="AD18">
        <v>1</v>
      </c>
      <c r="AE18">
        <v>0</v>
      </c>
      <c r="AG18">
        <v>5</v>
      </c>
      <c r="AH18">
        <v>2</v>
      </c>
      <c r="AI18">
        <v>6135248</v>
      </c>
      <c r="AJ18">
        <v>16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ht="12.75">
      <c r="A19">
        <f>ROW(Source!A31)</f>
        <v>31</v>
      </c>
      <c r="B19">
        <v>6135254</v>
      </c>
      <c r="C19">
        <v>6135244</v>
      </c>
      <c r="D19">
        <v>5212126</v>
      </c>
      <c r="E19">
        <v>1</v>
      </c>
      <c r="F19">
        <v>1</v>
      </c>
      <c r="G19">
        <v>1</v>
      </c>
      <c r="H19">
        <v>3</v>
      </c>
      <c r="I19" t="s">
        <v>182</v>
      </c>
      <c r="J19" t="s">
        <v>183</v>
      </c>
      <c r="K19" t="s">
        <v>184</v>
      </c>
      <c r="L19">
        <v>1339</v>
      </c>
      <c r="N19">
        <v>1007</v>
      </c>
      <c r="O19" t="s">
        <v>185</v>
      </c>
      <c r="P19" t="s">
        <v>185</v>
      </c>
      <c r="Q19">
        <v>1</v>
      </c>
      <c r="X19">
        <v>4.2</v>
      </c>
      <c r="Y19">
        <v>3.2</v>
      </c>
      <c r="Z19">
        <v>0</v>
      </c>
      <c r="AA19">
        <v>0</v>
      </c>
      <c r="AB19">
        <v>0</v>
      </c>
      <c r="AC19">
        <v>0</v>
      </c>
      <c r="AD19">
        <v>1</v>
      </c>
      <c r="AE19">
        <v>0</v>
      </c>
      <c r="AG19">
        <v>4.2</v>
      </c>
      <c r="AH19">
        <v>2</v>
      </c>
      <c r="AI19">
        <v>6135249</v>
      </c>
      <c r="AJ19">
        <v>17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ht="12.75">
      <c r="A20">
        <f>ROW(Source!A32)</f>
        <v>32</v>
      </c>
      <c r="B20">
        <v>6135257</v>
      </c>
      <c r="C20">
        <v>6135255</v>
      </c>
      <c r="D20">
        <v>4077331</v>
      </c>
      <c r="E20">
        <v>1</v>
      </c>
      <c r="F20">
        <v>1</v>
      </c>
      <c r="G20">
        <v>1</v>
      </c>
      <c r="H20">
        <v>1</v>
      </c>
      <c r="I20" t="s">
        <v>156</v>
      </c>
      <c r="K20" t="s">
        <v>157</v>
      </c>
      <c r="L20">
        <v>1476</v>
      </c>
      <c r="N20">
        <v>1013</v>
      </c>
      <c r="O20" t="s">
        <v>148</v>
      </c>
      <c r="P20" t="s">
        <v>149</v>
      </c>
      <c r="Q20">
        <v>1</v>
      </c>
      <c r="X20">
        <v>23.7</v>
      </c>
      <c r="Y20">
        <v>0</v>
      </c>
      <c r="Z20">
        <v>0</v>
      </c>
      <c r="AA20">
        <v>0</v>
      </c>
      <c r="AB20">
        <v>8.52</v>
      </c>
      <c r="AC20">
        <v>0</v>
      </c>
      <c r="AD20">
        <v>1</v>
      </c>
      <c r="AE20">
        <v>1</v>
      </c>
      <c r="AG20">
        <v>23.7</v>
      </c>
      <c r="AH20">
        <v>2</v>
      </c>
      <c r="AI20">
        <v>6135256</v>
      </c>
      <c r="AJ20">
        <v>18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Smeta3</cp:lastModifiedBy>
  <cp:lastPrinted>2007-09-25T09:56:02Z</cp:lastPrinted>
  <dcterms:created xsi:type="dcterms:W3CDTF">2007-09-25T09:56:22Z</dcterms:created>
  <dcterms:modified xsi:type="dcterms:W3CDTF">2007-09-25T10:01:06Z</dcterms:modified>
  <cp:category/>
  <cp:version/>
  <cp:contentType/>
  <cp:contentStatus/>
</cp:coreProperties>
</file>