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5" windowHeight="1170" activeTab="1"/>
  </bookViews>
  <sheets>
    <sheet name="Лист1" sheetId="1" r:id="rId1"/>
    <sheet name="Лист1 (2)" sheetId="2" r:id="rId2"/>
    <sheet name="Source" sheetId="3" r:id="rId3"/>
    <sheet name="SmtRes" sheetId="4" r:id="rId4"/>
    <sheet name="ClcRes" sheetId="5" r:id="rId5"/>
  </sheets>
  <externalReferences>
    <externalReference r:id="rId8"/>
    <externalReference r:id="rId9"/>
  </externalReferences>
  <definedNames>
    <definedName name="_xlnm.Print_Area" localSheetId="0">'Лист1'!$A$1:$K$407</definedName>
    <definedName name="_xlnm.Print_Area" localSheetId="1">'Лист1 (2)'!$A$1:$K$372</definedName>
  </definedNames>
  <calcPr fullCalcOnLoad="1"/>
</workbook>
</file>

<file path=xl/sharedStrings.xml><?xml version="1.0" encoding="utf-8"?>
<sst xmlns="http://schemas.openxmlformats.org/spreadsheetml/2006/main" count="4510" uniqueCount="617">
  <si>
    <t>Smeta.ru  (095) 974-1589</t>
  </si>
  <si>
    <t>_PS_</t>
  </si>
  <si>
    <t>Smeta.ru</t>
  </si>
  <si>
    <t>ЗАО "Промсервис"  Доп. раб. место  FStS-0019551</t>
  </si>
  <si>
    <t>Газооборудование</t>
  </si>
  <si>
    <t/>
  </si>
  <si>
    <t>Сметные нормы списания</t>
  </si>
  <si>
    <t>Коды ценников</t>
  </si>
  <si>
    <t>ТЕР Ульяновск</t>
  </si>
  <si>
    <t>1_ Новое строительство (МДС 81.33-2004 и АП-5536/06)</t>
  </si>
  <si>
    <t>Ульяновская область</t>
  </si>
  <si>
    <t>Поправки для НБ 2001 нов МДС  для вер.2 с параметрами</t>
  </si>
  <si>
    <t>Новая локальная смета</t>
  </si>
  <si>
    <t>на Автоматику</t>
  </si>
  <si>
    <t>{AA79C3E3-5FBE-4970-BAF3-9EB2B776CA7A}</t>
  </si>
  <si>
    <t>Монтажные работы</t>
  </si>
  <si>
    <t>{EA007C1E-84AF-4CC7-BB0A-15FEC102E1C6}</t>
  </si>
  <si>
    <t>1</t>
  </si>
  <si>
    <t>м11-06-001-1</t>
  </si>
  <si>
    <t>Щит, масса, кг, до: 50</t>
  </si>
  <si>
    <t>шт.</t>
  </si>
  <si>
    <t>ТЕРм Ульяновской обл.,сб.11,гл.06,табл.001,поз.1</t>
  </si>
  <si>
    <t>Монтаж оборудования</t>
  </si>
  <si>
    <t>43</t>
  </si>
  <si>
    <t>2</t>
  </si>
  <si>
    <t>м11-01-001-7</t>
  </si>
  <si>
    <t>Конструкции, масса, кг, до: 40</t>
  </si>
  <si>
    <t>ТЕРм Ульяновской обл.,сб.11,гл.01,табл.001,поз.7</t>
  </si>
  <si>
    <t>3</t>
  </si>
  <si>
    <t>м11-01-001-8</t>
  </si>
  <si>
    <t>Добавлять за каждые 10 кг свыше 40 кг</t>
  </si>
  <si>
    <t>10 кг</t>
  </si>
  <si>
    <t>ТЕРм Ульяновской обл.,сб.11,гл.01,табл.001,поз.8</t>
  </si>
  <si>
    <t>3,1</t>
  </si>
  <si>
    <t>2405-3059</t>
  </si>
  <si>
    <t>Зажим наборный</t>
  </si>
  <si>
    <t>1000ШТ</t>
  </si>
  <si>
    <t>3,2</t>
  </si>
  <si>
    <t>500-9398</t>
  </si>
  <si>
    <t>Ящик навесной</t>
  </si>
  <si>
    <t>ТССЦ Ульяновской обл.,сб.500,поз.9398</t>
  </si>
  <si>
    <t>3,3</t>
  </si>
  <si>
    <t>мостик М3Н1.У2</t>
  </si>
  <si>
    <t>ШТ</t>
  </si>
  <si>
    <t>3,4</t>
  </si>
  <si>
    <t>Колодка маркировочная</t>
  </si>
  <si>
    <t>3,5</t>
  </si>
  <si>
    <t>Рейка</t>
  </si>
  <si>
    <t>4</t>
  </si>
  <si>
    <t>м11-02-001-1</t>
  </si>
  <si>
    <t>Прибор, масса, кг, до: 1,5</t>
  </si>
  <si>
    <t>ТЕРм Ульяновской обл.,сб.11,гл.02,табл.001,поз.1</t>
  </si>
  <si>
    <t>5</t>
  </si>
  <si>
    <t>м11-03-011-2</t>
  </si>
  <si>
    <t>Прибор, категория сложности: II</t>
  </si>
  <si>
    <t>КОМПЛЕКТ</t>
  </si>
  <si>
    <t>ТЕРм Ульяновской обл.,сб.11,гл.03,табл.011,поз.2</t>
  </si>
  <si>
    <t>6</t>
  </si>
  <si>
    <t>м11-06-002-2</t>
  </si>
  <si>
    <t>Проводки в щитах и пультах электрические: малогабаритных</t>
  </si>
  <si>
    <t>100 м</t>
  </si>
  <si>
    <t>ТЕРм Ульяновской обл.,сб.11,гл.06,табл.002,поз.2</t>
  </si>
  <si>
    <t>6,1</t>
  </si>
  <si>
    <t>507-0262</t>
  </si>
  <si>
    <t>Провода силовые для электрических установок на напряжение до 450 В с медной жилой марки ПВ3, сечением 1 мм2</t>
  </si>
  <si>
    <t>1000 м</t>
  </si>
  <si>
    <t>ТССЦ Ульяновской обл.,сб.507,поз.0262</t>
  </si>
  <si>
    <t>1000 М</t>
  </si>
  <si>
    <t>7</t>
  </si>
  <si>
    <t>м08-02-148-1</t>
  </si>
  <si>
    <t>Кабели до 35 кВ в проложенных трубах, блоках и коробах: Кабель, масса 1 м, кг, до 1</t>
  </si>
  <si>
    <t>ТЕРм Ульяновской обл.,сб.08,гл.02,табл.148,поз.1</t>
  </si>
  <si>
    <t>100 м кабеля</t>
  </si>
  <si>
    <t>Электромонтажные работы (на других объектах)</t>
  </si>
  <si>
    <t>45-1</t>
  </si>
  <si>
    <t>8</t>
  </si>
  <si>
    <t>м08-02-402-1</t>
  </si>
  <si>
    <t>Кабели по установленным конструкциям и лоткам с установкой ответвительных коробок: Кабель двух-четырехжильный в помещениях с нормальной средой сечением жилы до 10 мм2</t>
  </si>
  <si>
    <t>ТЕРм Ульяновской обл.,сб.08,гл.02,табл.402,поз.1</t>
  </si>
  <si>
    <t>8,1</t>
  </si>
  <si>
    <t>8,2</t>
  </si>
  <si>
    <t>503-0011</t>
  </si>
  <si>
    <t>Кабели контрольные с медными жилами с поливинилхлоридной изоляцией и оболочкой марки КВВГ, с числом жил - 4 и сечением 1 мм2</t>
  </si>
  <si>
    <t>ТССЦ Ульяновской обл.,сб.503,поз.0011</t>
  </si>
  <si>
    <t>8,3</t>
  </si>
  <si>
    <t>503-0012</t>
  </si>
  <si>
    <t>Кабели контрольные с медными жилами с поливинилхлоридной изоляцией и оболочкой марки КВВГ, с числом жил - 5 и сечением 1 мм2</t>
  </si>
  <si>
    <t>ТССЦ Ульяновской обл.,сб.503,поз.0012</t>
  </si>
  <si>
    <t>8,4</t>
  </si>
  <si>
    <t>503-0358</t>
  </si>
  <si>
    <t>Кабели контрольные с алюминиевыми жилами с поливинилхлоридной изоляцией и оболочкой, марки АКВВГ, с числом жил - 10 и сечением 2.5 мм2</t>
  </si>
  <si>
    <t>ТССЦ Ульяновской обл.,сб.503,поз.0358</t>
  </si>
  <si>
    <t>8,5</t>
  </si>
  <si>
    <t>507-0227</t>
  </si>
  <si>
    <t>Провода силовые для электрических установок на напряжение до 450 В с алюминиевой жилой марки АПВ, сечением 2.5 мм2</t>
  </si>
  <si>
    <t>ТССЦ Ульяновской обл.,сб.507,поз.0227</t>
  </si>
  <si>
    <t>9</t>
  </si>
  <si>
    <t>м08-02-405-1</t>
  </si>
  <si>
    <t>Провода по стальным конструкциям и панелям: Провод по установленным стальным конструкциям и панелям, сечение, мм2, до 16</t>
  </si>
  <si>
    <t>ТЕРм Ульяновской обл.,сб.08,гл.02,табл.405,поз.1</t>
  </si>
  <si>
    <t>10</t>
  </si>
  <si>
    <t>м12-07-002-2</t>
  </si>
  <si>
    <t>Трубные проводки из бесшовных труб на условное давление до 10 МПа на соединениях разъемных, диаметр труб наружный, мм: 22</t>
  </si>
  <si>
    <t>ТЕРм Ульяновской обл.,сб.12,гл.07,табл.002,поз.2</t>
  </si>
  <si>
    <t>10,1</t>
  </si>
  <si>
    <t>103-0013</t>
  </si>
  <si>
    <t>Трубы стальные сварные водогазопроводные с резьбой черные обыкновенные (неоцинкованные) диаметр условного прохода 15 мм, толщина стенки 2.8 мм</t>
  </si>
  <si>
    <t>м</t>
  </si>
  <si>
    <t>ТССЦ Ульяновской обл.,сб.103,поз.0013</t>
  </si>
  <si>
    <t>11</t>
  </si>
  <si>
    <t>м12-12-002-2</t>
  </si>
  <si>
    <t>Арматура фланцевая с ручным приводом или без привода водопроводная на условное давление до 10 МПа, диаметр условного прохода, мм: 15</t>
  </si>
  <si>
    <t>ТЕРм Ульяновской обл.,сб.12,гл.12,табл.002,поз.2</t>
  </si>
  <si>
    <t>11,1</t>
  </si>
  <si>
    <t>300-1115</t>
  </si>
  <si>
    <t>Краны трехходовые сальниковые фланцевые 11Ч18БК для воды, нефти и масла, давлением 0,6 МПа (6 кгс/см2), диаметром 40 мм</t>
  </si>
  <si>
    <t>ТССЦ Ульяновской обл.,сб.300,поз.1115</t>
  </si>
  <si>
    <t>12</t>
  </si>
  <si>
    <t>м08-02-412-1</t>
  </si>
  <si>
    <t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2,5</t>
  </si>
  <si>
    <t>ТЕРм Ульяновской обл.,сб.08,гл.02,табл.412,поз.1</t>
  </si>
  <si>
    <t>12,1</t>
  </si>
  <si>
    <t>500-9096</t>
  </si>
  <si>
    <t>Разветвительная коробка</t>
  </si>
  <si>
    <t>ТССЦ Ульяновской обл.,сб.500,поз.9096</t>
  </si>
  <si>
    <t>13</t>
  </si>
  <si>
    <t>м08-03-604-1</t>
  </si>
  <si>
    <t>Звонки электрические с кнопкой: Звонок с кнопкой</t>
  </si>
  <si>
    <t>100 компл.</t>
  </si>
  <si>
    <t>ТЕРм Ульяновской обл.,сб.08,гл.03,табл.604,поз.1</t>
  </si>
  <si>
    <t>14</t>
  </si>
  <si>
    <t>м08-02-411-1</t>
  </si>
  <si>
    <t>Рукава металлические и вводы гибкие: Рукав, наружный диаметр, мм, до 48</t>
  </si>
  <si>
    <t>ТЕРм Ульяновской обл.,сб.08,гл.02,табл.411,поз.1</t>
  </si>
  <si>
    <t>14,1</t>
  </si>
  <si>
    <t>201-9233</t>
  </si>
  <si>
    <t>Металлорукав</t>
  </si>
  <si>
    <t>ТССЦ Ульяновской обл.,сб.201,поз.9233</t>
  </si>
  <si>
    <t>15</t>
  </si>
  <si>
    <t>м08-03-574-1</t>
  </si>
  <si>
    <t>Разводка по устройствам и подключение жил кабелей или проводов внешней сети к блокам зажимов и к зажимам на устройствах: Кабели или провода, сечение, мм2, до 10</t>
  </si>
  <si>
    <t>100 шт.</t>
  </si>
  <si>
    <t>ТЕРм Ульяновской обл.,сб.08,гл.03,табл.574,поз.1</t>
  </si>
  <si>
    <t>100 жил</t>
  </si>
  <si>
    <t>15,1</t>
  </si>
  <si>
    <t>500-9062</t>
  </si>
  <si>
    <t>Hаконечники кабельные</t>
  </si>
  <si>
    <t>ТССЦ Ульяновской обл.,сб.500,поз.9062</t>
  </si>
  <si>
    <t>ПЗ</t>
  </si>
  <si>
    <t>Прямые затраты</t>
  </si>
  <si>
    <t>СтМат</t>
  </si>
  <si>
    <t>Стоимость материалов</t>
  </si>
  <si>
    <t>ЭММ</t>
  </si>
  <si>
    <t>Эксплуатация машин</t>
  </si>
  <si>
    <t>ЗПМ</t>
  </si>
  <si>
    <t>ЗП машинистов</t>
  </si>
  <si>
    <t>ОЗП</t>
  </si>
  <si>
    <t>Основная ЗП рабочих</t>
  </si>
  <si>
    <t>ВозврМат</t>
  </si>
  <si>
    <t>Возврат материалов</t>
  </si>
  <si>
    <t>ТрудСтр</t>
  </si>
  <si>
    <t>Трудозатраты строителей</t>
  </si>
  <si>
    <t>ТрудМаш</t>
  </si>
  <si>
    <t>Трудозатраты машинистов</t>
  </si>
  <si>
    <t>ТранспМат</t>
  </si>
  <si>
    <t>Транспорт материалов</t>
  </si>
  <si>
    <t>НР</t>
  </si>
  <si>
    <t>Накладные расходы</t>
  </si>
  <si>
    <t>СмПриб</t>
  </si>
  <si>
    <t>Сметная прибыль</t>
  </si>
  <si>
    <t>Новый раздел</t>
  </si>
  <si>
    <t>Щит автоматики - оборудование</t>
  </si>
  <si>
    <t>{41B9F4AF-B95A-42C5-B36C-B32DE4008850}</t>
  </si>
  <si>
    <t>м08-03-526-2</t>
  </si>
  <si>
    <t>Выключатели установочные автоматические (автоматы) или неавтоматические: Автомат одно-, двух-, трехполюсный, устанавливаемый на конструкции на стене или колонне, на ток, А, до 100</t>
  </si>
  <si>
    <t>ТЕРм Ульяновской обл.,сб.08,гл.03,табл.526,поз.2</t>
  </si>
  <si>
    <t>2,1</t>
  </si>
  <si>
    <t>Выключатель автоматический</t>
  </si>
  <si>
    <t>м08-01-081-1</t>
  </si>
  <si>
    <t>Аппараты управления и сигнализации: Аппарат (кнопка, ключ управления, замок электромагнитной блокировки, звуковой сигнал, сигнальная лампа), количество подключаемых концов, до 2</t>
  </si>
  <si>
    <t>ТЕРм Ульяновской обл.,сб.08,гл.01,табл.081,поз.1</t>
  </si>
  <si>
    <t>Кнопки цепей управления</t>
  </si>
  <si>
    <t>Реле промежуточные электромагнитные серии ПЭ</t>
  </si>
  <si>
    <t>Реле промежуточные электромагнитные серии РКВ</t>
  </si>
  <si>
    <t>м08-03-522-1</t>
  </si>
  <si>
    <t>Переключатели (рубильники переключающие):  Переключатель на плите с центральной или боковой рукояткой или управлением штангой, устанавливаемый на металлическом основании, однополюсный на ток, А, до 250</t>
  </si>
  <si>
    <t>ТЕРм Ульяновской обл.,сб.08,гл.03,табл.522,поз.1</t>
  </si>
  <si>
    <t>4,1</t>
  </si>
  <si>
    <t>Переключатель путевой бесконтактный БВК</t>
  </si>
  <si>
    <t>4,2</t>
  </si>
  <si>
    <t>Выключатели, тумблеры, переключатели сетевые, концевые ТВ1</t>
  </si>
  <si>
    <t>м08-01-082-1</t>
  </si>
  <si>
    <t>Зажимы наборные:  Зажим без кожуха</t>
  </si>
  <si>
    <t>ТЕРм Ульяновской обл.,сб.08,гл.01,табл.082,поз.1</t>
  </si>
  <si>
    <t>Пост сигнализации</t>
  </si>
  <si>
    <t>{4B67EB28-BBC5-4250-9F13-6F0F6937E972}</t>
  </si>
  <si>
    <t>1,1</t>
  </si>
  <si>
    <t>1,2</t>
  </si>
  <si>
    <t>Рамки</t>
  </si>
  <si>
    <t>м08-03-532-1</t>
  </si>
  <si>
    <t>Посты управления кнопочные: Пост управления кнопочный общего назначения, устанавливаемый на конструкции на полу, количество элементов поста, до 3</t>
  </si>
  <si>
    <t>ТЕРм Ульяновской обл.,сб.08,гл.03,табл.532,поз.1</t>
  </si>
  <si>
    <t>Посты управления кнопочные серии ПКУ15. Панели с кожухом к постам управления</t>
  </si>
  <si>
    <t>67-5-1</t>
  </si>
  <si>
    <t>Смена ламп накаливания</t>
  </si>
  <si>
    <t>ТЕРр Ульяновской обл.,сб.67,поз.5-1</t>
  </si>
  <si>
    <t>Ремонтно-строительные работы</t>
  </si>
  <si>
    <t>Электромонтажные работы</t>
  </si>
  <si>
    <t>67</t>
  </si>
  <si>
    <t>500-9006-015-73</t>
  </si>
  <si>
    <t>Лампы накаливания:  ЛОН 25</t>
  </si>
  <si>
    <t>10 шт.</t>
  </si>
  <si>
    <t>ТССЦ Ульяновской обл.,сб.500,поз.9006-015-73</t>
  </si>
  <si>
    <t>Оборудование</t>
  </si>
  <si>
    <t>{756B8530-A78F-406F-B1D9-20025D573EA1}</t>
  </si>
  <si>
    <t>Термометры в оправе</t>
  </si>
  <si>
    <t>Прочие работы</t>
  </si>
  <si>
    <t>прочие</t>
  </si>
  <si>
    <t>Манометр МП-4У</t>
  </si>
  <si>
    <t>индексы II квартал 35,09 3,21 2,98 4,26 2,52                                III квартал 35,75 3,27 3,04 4,36 2,60</t>
  </si>
  <si>
    <t>Манометр показывающий сигнализирующий ДМ2010СГ</t>
  </si>
  <si>
    <t>Звонок громкого боя переменного тока</t>
  </si>
  <si>
    <t>Датчик давления и сигнализатора ДД-0,25</t>
  </si>
  <si>
    <t>Тягонапоромер НМП-52</t>
  </si>
  <si>
    <t>Инд_к_Мат</t>
  </si>
  <si>
    <t>Индекс к материалам</t>
  </si>
  <si>
    <t>Инд_к_ЭММ</t>
  </si>
  <si>
    <t>Индекс к эксплуатации машин и механизмов</t>
  </si>
  <si>
    <t>Инд_к_ОЗП</t>
  </si>
  <si>
    <t>Индекс к основной заработной плате</t>
  </si>
  <si>
    <t>Коэф_к_НР</t>
  </si>
  <si>
    <t>Коэффициент к накладным расходам</t>
  </si>
  <si>
    <t>ПЗ_с_инд</t>
  </si>
  <si>
    <t>Прямые затраты с учетом индекса, руб.</t>
  </si>
  <si>
    <t>СтМат_с_инд</t>
  </si>
  <si>
    <t>Стоимость материалов с учетом индекса, руб.</t>
  </si>
  <si>
    <t>ТрансМат</t>
  </si>
  <si>
    <t>Транспорт материалов, загот.-склад. расходы, %</t>
  </si>
  <si>
    <t>СтМат_с_транс</t>
  </si>
  <si>
    <t>Стоимость материалов с учетом транспорта, руб.</t>
  </si>
  <si>
    <t>ЭксМаш_с_инд</t>
  </si>
  <si>
    <t>Эксплуатация машин с учетом индекса, руб.</t>
  </si>
  <si>
    <t>ЗМаш_с_инд</t>
  </si>
  <si>
    <t>Зарплата машинистов с учетом индекса, руб.</t>
  </si>
  <si>
    <t>ОЗР_с_инд</t>
  </si>
  <si>
    <t>Основная зарплата рабочих с учетом индекса, руб.</t>
  </si>
  <si>
    <t>НР_с_инд</t>
  </si>
  <si>
    <t>Накладные расходы с учетом индекса, руб.</t>
  </si>
  <si>
    <t>СП_с_инд</t>
  </si>
  <si>
    <t>Сметная прибыль с учетом индекса, руб.</t>
  </si>
  <si>
    <t>ИтогТекущ</t>
  </si>
  <si>
    <t>Итого в текущих ценах</t>
  </si>
  <si>
    <t>ВР_ЗД</t>
  </si>
  <si>
    <t>Временные здания и сооружения 3,1% от СМР (ГСН81-05-01-2001)</t>
  </si>
  <si>
    <t>ЗИМ_УД</t>
  </si>
  <si>
    <t>Зимнее удорожание 2,2% от СМР (ГСН81-05-02-2001)</t>
  </si>
  <si>
    <t>ИтогВРиЗУ</t>
  </si>
  <si>
    <t>Итого с временными и зимнем удорожанием</t>
  </si>
  <si>
    <t>НепредвРасх</t>
  </si>
  <si>
    <t>Непредвиденные расходы 1%  (МДС81-35.20-04)</t>
  </si>
  <si>
    <t>ИтогПоСмете</t>
  </si>
  <si>
    <t>ИТОГО ПО СМЕТЕ, руб.</t>
  </si>
  <si>
    <t>НДС</t>
  </si>
  <si>
    <t>НДС, %</t>
  </si>
  <si>
    <t>СумНДС</t>
  </si>
  <si>
    <t>Сумма НДС, руб.</t>
  </si>
  <si>
    <t>Итог_с_НДС</t>
  </si>
  <si>
    <t>Итого с НДС, руб.</t>
  </si>
  <si>
    <t>Report573</t>
  </si>
  <si>
    <t>1-3.3-73</t>
  </si>
  <si>
    <t>Затраты труда рабочих-строителей (средний разряд 3.3)</t>
  </si>
  <si>
    <t>чел.ч</t>
  </si>
  <si>
    <t>ЧЕЛ.Ч</t>
  </si>
  <si>
    <t>Затраты труда машинистов</t>
  </si>
  <si>
    <t>чел.час</t>
  </si>
  <si>
    <t>021102</t>
  </si>
  <si>
    <t>483511</t>
  </si>
  <si>
    <t>Краны на автомобильном ходу при работе на монтаже технологического оборудования 10 т</t>
  </si>
  <si>
    <t>маш.ч</t>
  </si>
  <si>
    <t>МАШ.Ч</t>
  </si>
  <si>
    <t>040502</t>
  </si>
  <si>
    <t>344142</t>
  </si>
  <si>
    <t>Установки для сварки ручной дуговой (постоянного тока)</t>
  </si>
  <si>
    <t>маш.-ч</t>
  </si>
  <si>
    <t>331002</t>
  </si>
  <si>
    <t>483318</t>
  </si>
  <si>
    <t>Станки сверлильные</t>
  </si>
  <si>
    <t>400001</t>
  </si>
  <si>
    <t>451114</t>
  </si>
  <si>
    <t>Автомобили бортовые грузоподъемностью до 5 т</t>
  </si>
  <si>
    <t>101-0838</t>
  </si>
  <si>
    <t>ТССЦ Ульяновской обл.,сб.101,поз.0838</t>
  </si>
  <si>
    <t>Растворители для лакокрасочных материалов Р-4</t>
  </si>
  <si>
    <t>т</t>
  </si>
  <si>
    <t>101-1111</t>
  </si>
  <si>
    <t>ТССЦ Ульяновской обл.,сб.101,поз.1111</t>
  </si>
  <si>
    <t>Рифленый прокат ромбического рифления, шириной свыше 1 до 1.9 м из горячекатаных листов с обрезными кромками сталь С235, толщиной 4 мм</t>
  </si>
  <si>
    <t>101-1292</t>
  </si>
  <si>
    <t>ТССЦ Ульяновской обл.,сб.101,поз.1292</t>
  </si>
  <si>
    <t>Уайт-спирит</t>
  </si>
  <si>
    <t>101-1513</t>
  </si>
  <si>
    <t>ТССЦ Ульяновской обл.,сб.101,поз.1513</t>
  </si>
  <si>
    <t>Электроды диаметром 4 мм Э42</t>
  </si>
  <si>
    <t>101-2039</t>
  </si>
  <si>
    <t>ТССЦ Ульяновской обл.,сб.101,поз.2039</t>
  </si>
  <si>
    <t>Болты с гайками и шайбами оцинкованные, диаметр 12 мм</t>
  </si>
  <si>
    <t>кг</t>
  </si>
  <si>
    <t>111-0120</t>
  </si>
  <si>
    <t>ТССЦ Ульяновской обл.,сб.111,поз.0120</t>
  </si>
  <si>
    <t>Рамка для надписей 55х15 мм</t>
  </si>
  <si>
    <t>113-0021</t>
  </si>
  <si>
    <t>ТССЦ Ульяновской обл.,сб.113,поз.0021</t>
  </si>
  <si>
    <t>Грунтовка ГФ-021 красно-коричневая</t>
  </si>
  <si>
    <t>113-0227</t>
  </si>
  <si>
    <t>ТССЦ Ульяновской обл.,сб.113,поз.0227</t>
  </si>
  <si>
    <t>Эмаль ХВ-124 защитная, зеленая</t>
  </si>
  <si>
    <t>201-9180</t>
  </si>
  <si>
    <t>ТССЦ Ульяновской обл.,сб.201,поз.9180</t>
  </si>
  <si>
    <t>Подкладки металлические</t>
  </si>
  <si>
    <t>1-4.2-73</t>
  </si>
  <si>
    <t>Затраты труда рабочих-строителей (средний разряд 4.2)</t>
  </si>
  <si>
    <t>330900</t>
  </si>
  <si>
    <t>483331</t>
  </si>
  <si>
    <t>Hожницы листовые кривошипные (гильотиновые)</t>
  </si>
  <si>
    <t>331451</t>
  </si>
  <si>
    <t>Перфораторы электрические</t>
  </si>
  <si>
    <t>340101</t>
  </si>
  <si>
    <t>483312</t>
  </si>
  <si>
    <t>Агрегаты окрасочные высокого давления для окраски поверхностей конструкций мощностью 1 кВт</t>
  </si>
  <si>
    <t>350461</t>
  </si>
  <si>
    <t>483490</t>
  </si>
  <si>
    <t>Прессы кривошипные простого действия 25 (2.5) кH (тс)</t>
  </si>
  <si>
    <t>350471</t>
  </si>
  <si>
    <t>Прессы листогибочные кривошипные 1000 (100) кH (тс)</t>
  </si>
  <si>
    <t>101-2036</t>
  </si>
  <si>
    <t>ТССЦ Ульяновской обл.,сб.101,поз.2036</t>
  </si>
  <si>
    <t>Болты с гайками и шайбами оцинкованные, диаметр 6 мм</t>
  </si>
  <si>
    <t>101-2207</t>
  </si>
  <si>
    <t>ТССЦ Ульяновской обл.,сб.101,поз.2207</t>
  </si>
  <si>
    <t>Дюбели пластмассовые, диаметр 14 мм</t>
  </si>
  <si>
    <t>101-2216</t>
  </si>
  <si>
    <t>ТССЦ Ульяновской обл.,сб.101,поз.2216</t>
  </si>
  <si>
    <t>Сталь листовая горячекатаная, толщина 2-6 мм, сталь марки Ст3</t>
  </si>
  <si>
    <t>101-2250</t>
  </si>
  <si>
    <t>ТССЦ Ульяновской обл.,сб.101,поз.2250</t>
  </si>
  <si>
    <t>Сталь угловая, марки Ст3, перфорированная УП 35х35 мм</t>
  </si>
  <si>
    <t>101-2257</t>
  </si>
  <si>
    <t>ТССЦ Ульяновской обл.,сб.101,поз.2257</t>
  </si>
  <si>
    <t>Сталь швеллерная, марки Ст3, перфорированная ШП 60х35 мм</t>
  </si>
  <si>
    <t>101-2217</t>
  </si>
  <si>
    <t>ТССЦ Ульяновской обл.,сб.101,поз.2217</t>
  </si>
  <si>
    <t>Сталь листовая горячекатаная, толщина 6-8 мм, сталь марки Ст3</t>
  </si>
  <si>
    <t>101-9892</t>
  </si>
  <si>
    <t>ТССЦ Ульяновской обл.,сб.101,поз.9892</t>
  </si>
  <si>
    <t>Прокладки паронитовые</t>
  </si>
  <si>
    <t>101-2037</t>
  </si>
  <si>
    <t>ТССЦ Ульяновской обл.,сб.101,поз.2037</t>
  </si>
  <si>
    <t>Болты с гайками и шайбами оцинкованные, диаметр 8 мм</t>
  </si>
  <si>
    <t>1-5.0-73</t>
  </si>
  <si>
    <t>Затраты труда рабочих-строителей (средний разряд 5.0)</t>
  </si>
  <si>
    <t>101-1703</t>
  </si>
  <si>
    <t>ТССЦ Ульяновской обл.,сб.101,поз.1703</t>
  </si>
  <si>
    <t>Прокладки резиновые (пластина техническая прессованная)</t>
  </si>
  <si>
    <t>111-0109</t>
  </si>
  <si>
    <t>ТССЦ Ульяновской обл.,сб.111,поз.0109</t>
  </si>
  <si>
    <t>Бирки маркировочные пластмассовые</t>
  </si>
  <si>
    <t>1-4.0-73</t>
  </si>
  <si>
    <t>Затраты труда рабочих-строителей (средний разряд 4.0)</t>
  </si>
  <si>
    <t>030203</t>
  </si>
  <si>
    <t>483411</t>
  </si>
  <si>
    <t>Домкраты гидравлические грузоподъемностью 63 т</t>
  </si>
  <si>
    <t>030408</t>
  </si>
  <si>
    <t>483588</t>
  </si>
  <si>
    <t>Лебедки электрические, тяговым усилием 156,96 (16) кH (т)</t>
  </si>
  <si>
    <t>400002</t>
  </si>
  <si>
    <t>451115</t>
  </si>
  <si>
    <t>Автомобили бортовые грузоподъемностью до 8 т</t>
  </si>
  <si>
    <t>101-0813</t>
  </si>
  <si>
    <t>ТССЦ Ульяновской обл.,сб.101,поз.0813</t>
  </si>
  <si>
    <t>Проволока стальная низкоуглеродистая разного назначения оцинкованная диаметром 3.0 мм</t>
  </si>
  <si>
    <t>101-0865</t>
  </si>
  <si>
    <t>ТССЦ Ульяновской обл.,сб.101,поз.0865</t>
  </si>
  <si>
    <t>Роли свинцовые марки С1 толщиной 1.0 мм</t>
  </si>
  <si>
    <t>101-1786</t>
  </si>
  <si>
    <t>ТССЦ Ульяновской обл.,сб.101,поз.1786</t>
  </si>
  <si>
    <t>Лак битумный БТ-123</t>
  </si>
  <si>
    <t>500-9101</t>
  </si>
  <si>
    <t>ТССЦ Ульяновской обл.,сб.500,поз.9101</t>
  </si>
  <si>
    <t>Кнопки монтажные</t>
  </si>
  <si>
    <t>1000 шт.</t>
  </si>
  <si>
    <t>500-9500</t>
  </si>
  <si>
    <t>ТССЦ Ульяновской обл.,сб.500,поз.9500</t>
  </si>
  <si>
    <t>Бирки маркировочные</t>
  </si>
  <si>
    <t>500-9623</t>
  </si>
  <si>
    <t>ТССЦ Ульяновской обл.,сб.500,поз.9623</t>
  </si>
  <si>
    <t>Лента К226</t>
  </si>
  <si>
    <t>522-0077</t>
  </si>
  <si>
    <t>ТССЦ Ульяновской обл.,сб.522,поз.0077</t>
  </si>
  <si>
    <t>Припои оловянно-свинцовые бессурьмянистые марки ПОС30</t>
  </si>
  <si>
    <t>1-3.8-73</t>
  </si>
  <si>
    <t>Затраты труда рабочих-строителей (средний разряд 3.8)</t>
  </si>
  <si>
    <t>030902</t>
  </si>
  <si>
    <t>483589</t>
  </si>
  <si>
    <t>Подъемники гидравлические высотой подъема 10 м</t>
  </si>
  <si>
    <t>101-1924</t>
  </si>
  <si>
    <t>ТССЦ Ульяновской обл.,сб.101,поз.1924</t>
  </si>
  <si>
    <t>Электроды диаметром 4 мм Э42А</t>
  </si>
  <si>
    <t>101-9852</t>
  </si>
  <si>
    <t>ТССЦ Ульяновской обл.,сб.101,поз.9852</t>
  </si>
  <si>
    <t>Краска</t>
  </si>
  <si>
    <t>500-9041</t>
  </si>
  <si>
    <t>ТССЦ Ульяновской обл.,сб.500,поз.9041</t>
  </si>
  <si>
    <t>Сжимы ответвительные</t>
  </si>
  <si>
    <t>500-9719</t>
  </si>
  <si>
    <t>ТССЦ Ульяновской обл.,сб.500,поз.9719</t>
  </si>
  <si>
    <t>Полоски и пряжки для крепления проводов</t>
  </si>
  <si>
    <t>544-0089</t>
  </si>
  <si>
    <t>ТССЦ, Ульяновской обл.сб.544,поз.0089</t>
  </si>
  <si>
    <t>Лента липкая изоляционная на поликасиновом компаунде марки ЛСЭПЛ, шириной 20-30 мм, толщиной от 0,14 до 0,19 мм включительно</t>
  </si>
  <si>
    <t>330206</t>
  </si>
  <si>
    <t>Дрели электрические</t>
  </si>
  <si>
    <t>101-0115</t>
  </si>
  <si>
    <t>ТССЦ Ульяновской обл.,сб.101,поз.0115</t>
  </si>
  <si>
    <t>Винты с полукруглой головкой длиной 50 мм</t>
  </si>
  <si>
    <t>500-9204</t>
  </si>
  <si>
    <t>ТССЦ Ульяновской обл.,сб.500,поз.9204</t>
  </si>
  <si>
    <t>Прессшпан листовой, марки А</t>
  </si>
  <si>
    <t>500-9452</t>
  </si>
  <si>
    <t>ТССЦ Ульяновской обл.,сб.500,поз.9452</t>
  </si>
  <si>
    <t>Скоба К-142</t>
  </si>
  <si>
    <t>050301</t>
  </si>
  <si>
    <t>364321</t>
  </si>
  <si>
    <t>Компрессоры самоходные с двигателем внутреннего сгорания давлением 800 кПа (8 ат), производительность 6,3 м3/мин</t>
  </si>
  <si>
    <t>151301</t>
  </si>
  <si>
    <t>483480</t>
  </si>
  <si>
    <t>Станки трубогибочные для труб диаметром 200-500 мм</t>
  </si>
  <si>
    <t>331005</t>
  </si>
  <si>
    <t>Станки трубоотрезные</t>
  </si>
  <si>
    <t>331006</t>
  </si>
  <si>
    <t>Станки трубонарезные</t>
  </si>
  <si>
    <t>350451</t>
  </si>
  <si>
    <t>Прессы гидравлические с электроприводом</t>
  </si>
  <si>
    <t>101-0091</t>
  </si>
  <si>
    <t>ТССЦ Ульяновской обл.,сб.101,поз.0091</t>
  </si>
  <si>
    <t>Болты с шестигранной головкой диаметром резьбы 12- (14) мм</t>
  </si>
  <si>
    <t>101-0806</t>
  </si>
  <si>
    <t>ТССЦ Ульяновской обл.,сб.101,поз.0806</t>
  </si>
  <si>
    <t>Проволока сварочная легированная диаметром 2 мм</t>
  </si>
  <si>
    <t>101-2041</t>
  </si>
  <si>
    <t>ТССЦ Ульяновской обл.,сб.101,поз.2041</t>
  </si>
  <si>
    <t>Шайбы оцинкованные диаметр 6 мм</t>
  </si>
  <si>
    <t>113-0248</t>
  </si>
  <si>
    <t>ТССЦ Ульяновской обл.,сб.113,поз.0248</t>
  </si>
  <si>
    <t>Эмаль ПФ-167</t>
  </si>
  <si>
    <t>500-9035</t>
  </si>
  <si>
    <t>ТССЦ Ульяновской обл.,сб.500,поз.9035</t>
  </si>
  <si>
    <t>Скобы СО-22</t>
  </si>
  <si>
    <t>500-9044</t>
  </si>
  <si>
    <t>ТССЦ Ульяновской обл.,сб.500,поз.9044</t>
  </si>
  <si>
    <t>Хомутики для крепления труб</t>
  </si>
  <si>
    <t>101-1977</t>
  </si>
  <si>
    <t>ТССЦ Ульяновской обл.,сб.101,поз.1977</t>
  </si>
  <si>
    <t>Болты строительные с гайками и шайбами</t>
  </si>
  <si>
    <t>101-1764</t>
  </si>
  <si>
    <t>ТССЦ Ульяновской обл.,сб.101,поз.1764</t>
  </si>
  <si>
    <t>Тальк молотый сорт 1</t>
  </si>
  <si>
    <t>500-9056</t>
  </si>
  <si>
    <t>ТССЦ Ульяновской обл.,сб.500,поз.9056</t>
  </si>
  <si>
    <t>Колпачки изолирующие</t>
  </si>
  <si>
    <t>500-9061</t>
  </si>
  <si>
    <t>ТССЦ Ульяновской обл.,сб.500,поз.9061</t>
  </si>
  <si>
    <t>Втулки изолирующие</t>
  </si>
  <si>
    <t>500-9140</t>
  </si>
  <si>
    <t>ТССЦ Ульяновской обл.,сб.500,поз.9140</t>
  </si>
  <si>
    <t>Гильзы соединительные</t>
  </si>
  <si>
    <t>101-1481</t>
  </si>
  <si>
    <t>ТССЦ Ульяновской обл.,сб.101,поз.1481</t>
  </si>
  <si>
    <t>Шурупы с полукруглой головкой 4х40 мм</t>
  </si>
  <si>
    <t>101-9103</t>
  </si>
  <si>
    <t>ТССЦ Ульяновской обл.,сб.101,поз.9103</t>
  </si>
  <si>
    <t>Дюбели распорные</t>
  </si>
  <si>
    <t>500-9127</t>
  </si>
  <si>
    <t>ТССЦ Ульяновской обл.,сб.500,поз.9127</t>
  </si>
  <si>
    <t>Розетки деревянные</t>
  </si>
  <si>
    <t>507-9001</t>
  </si>
  <si>
    <t>ТССЦ Ульяновской обл.,сб.507,поз.9001</t>
  </si>
  <si>
    <t>Провод</t>
  </si>
  <si>
    <t>101-1755</t>
  </si>
  <si>
    <t>ТССЦ Ульяновской обл.,сб.101,поз.1755</t>
  </si>
  <si>
    <t>Сталь полосовая спокойная марки Ст3сп, шириной 50-200 мм толщиной 4-5 мм</t>
  </si>
  <si>
    <t>101-9100</t>
  </si>
  <si>
    <t>ТССЦ Ульяновской обл.,сб.101,поз.9100</t>
  </si>
  <si>
    <t>Патроны для пристрелки</t>
  </si>
  <si>
    <t>101-9109</t>
  </si>
  <si>
    <t>ТССЦ Ульяновской обл.,сб.101,поз.9109</t>
  </si>
  <si>
    <t>Дюбели для пристрелки</t>
  </si>
  <si>
    <t>103-9160</t>
  </si>
  <si>
    <t>ТССЦ Ульяновской обл.,сб.103,поз.9160</t>
  </si>
  <si>
    <t>Муфты соединительные</t>
  </si>
  <si>
    <t>500-9031</t>
  </si>
  <si>
    <t>ТССЦ Ульяновской обл.,сб.500,поз.9031</t>
  </si>
  <si>
    <t>Скобы</t>
  </si>
  <si>
    <t>500-9070</t>
  </si>
  <si>
    <t>ТССЦ Ульяновской обл.,сб.500,поз.9070</t>
  </si>
  <si>
    <t>Патрубки</t>
  </si>
  <si>
    <t>500-9081</t>
  </si>
  <si>
    <t>ТССЦ Ульяновской обл.,сб.500,поз.9081</t>
  </si>
  <si>
    <t>Перемычки гибкие, тип ПГС-50</t>
  </si>
  <si>
    <t>101-0501</t>
  </si>
  <si>
    <t>ТССЦ Ульяновской обл.,сб.101,поз.0501</t>
  </si>
  <si>
    <t>Лаки канифольные КФ-965</t>
  </si>
  <si>
    <t>101-1964</t>
  </si>
  <si>
    <t>ТССЦ Ульяновской обл.,сб.101,поз.1964</t>
  </si>
  <si>
    <t>Шпагат бумажный</t>
  </si>
  <si>
    <t>500-9502</t>
  </si>
  <si>
    <t>ТССЦ Ульяновской обл.,сб.500,поз.9502</t>
  </si>
  <si>
    <t>Бирки-оконцеватели</t>
  </si>
  <si>
    <t>500-9619</t>
  </si>
  <si>
    <t>ТССЦ Ульяновской обл.,сб.500,поз.9619</t>
  </si>
  <si>
    <t>Hитки швейные</t>
  </si>
  <si>
    <t>542-9033</t>
  </si>
  <si>
    <t>ТССЦ, Ульяновской обл.сб.542,поз.9033</t>
  </si>
  <si>
    <t>Вазелин технический</t>
  </si>
  <si>
    <t>1-3.9-73</t>
  </si>
  <si>
    <t>Затраты труда рабочих-строителей (средний разряд 3.9)</t>
  </si>
  <si>
    <t>101-9760</t>
  </si>
  <si>
    <t>ТССЦ Ульяновской обл.,сб.101,поз.9760</t>
  </si>
  <si>
    <t>Лак электроизоляционный 318</t>
  </si>
  <si>
    <t>201-9408</t>
  </si>
  <si>
    <t>ТССЦ Ульяновской обл.,сб.201,поз.9408</t>
  </si>
  <si>
    <t>Конструкции стальные индивидуальные решетчатые сварные массой до 0,1 т</t>
  </si>
  <si>
    <t>Реле напряжения , времени сигнальные промежуточные</t>
  </si>
  <si>
    <t>Выключатели, тумблеры, переключатели сетевые, концевые</t>
  </si>
  <si>
    <t>Арматура сигнальная АС-220</t>
  </si>
  <si>
    <t>500-9807</t>
  </si>
  <si>
    <t>ТССЦ Ульяновской обл.,сб.500,поз.9807</t>
  </si>
  <si>
    <t>Оконцеватели маркировочные</t>
  </si>
  <si>
    <t>1-4.7-73</t>
  </si>
  <si>
    <t>Затраты труда рабочих-строителей (средний разряд 4.7)</t>
  </si>
  <si>
    <t>Выключатели, тумблеры, переключатели сетевые, концевые, розетки и др.</t>
  </si>
  <si>
    <t>Арматура светосигнальная</t>
  </si>
  <si>
    <t>500-9368</t>
  </si>
  <si>
    <t>ТССЦ Ульяновской обл.,сб.500,поз.9368</t>
  </si>
  <si>
    <t>Зажимы наборные</t>
  </si>
  <si>
    <t>Аратура светосигнальная</t>
  </si>
  <si>
    <t>1-3.0-73</t>
  </si>
  <si>
    <t>Затраты труда рабочих-строителей (средний разряд 3.0)</t>
  </si>
  <si>
    <t>Наименование стройки:</t>
  </si>
  <si>
    <t>Объект:</t>
  </si>
  <si>
    <t>Наименование объекта:</t>
  </si>
  <si>
    <t>Основание:</t>
  </si>
  <si>
    <t>Сметная стоимость</t>
  </si>
  <si>
    <t>тыс.руб</t>
  </si>
  <si>
    <t>№</t>
  </si>
  <si>
    <t>п/п</t>
  </si>
  <si>
    <t>Шифр и №</t>
  </si>
  <si>
    <t>позиции</t>
  </si>
  <si>
    <t>Наименование работ и затрат,</t>
  </si>
  <si>
    <t>единица измерения</t>
  </si>
  <si>
    <t>Коли-</t>
  </si>
  <si>
    <t>чество</t>
  </si>
  <si>
    <t>Стоимость ед, руб.</t>
  </si>
  <si>
    <t>Всего</t>
  </si>
  <si>
    <t>Основной</t>
  </si>
  <si>
    <t>зар.платы</t>
  </si>
  <si>
    <t>Экспл.</t>
  </si>
  <si>
    <t>машин</t>
  </si>
  <si>
    <t>в т.ч.</t>
  </si>
  <si>
    <t>зарплаты</t>
  </si>
  <si>
    <t>Общая стоимость, руб.</t>
  </si>
  <si>
    <t>Затраты труда рабо-</t>
  </si>
  <si>
    <t>чих, чел.-ч., не заня-</t>
  </si>
  <si>
    <t>тых обсл. машин</t>
  </si>
  <si>
    <t>обслуж. машины</t>
  </si>
  <si>
    <t>на един.</t>
  </si>
  <si>
    <t>всего</t>
  </si>
  <si>
    <t xml:space="preserve">Локальная смета  </t>
  </si>
  <si>
    <t>Раздел</t>
  </si>
  <si>
    <t>Коэфф. пересчёта: пункт</t>
  </si>
  <si>
    <t xml:space="preserve">% НР </t>
  </si>
  <si>
    <t xml:space="preserve">% СП </t>
  </si>
  <si>
    <t xml:space="preserve">Итого по разделу  </t>
  </si>
  <si>
    <t xml:space="preserve">Итого по объекту  </t>
  </si>
  <si>
    <t>норма-</t>
  </si>
  <si>
    <t>тива</t>
  </si>
  <si>
    <t>Утверждаю:</t>
  </si>
  <si>
    <r>
      <t xml:space="preserve">Подрядчик: </t>
    </r>
    <r>
      <rPr>
        <b/>
        <sz val="11"/>
        <rFont val="Arial Cyr"/>
        <family val="2"/>
      </rPr>
      <t>ЗАО"Промсервис"</t>
    </r>
  </si>
  <si>
    <t>Генеральный директор</t>
  </si>
  <si>
    <t>____________________А.А.Минаков</t>
  </si>
  <si>
    <t>"__"__________ 2006 г.</t>
  </si>
  <si>
    <t>Составлена в ценах 3 кв. 2006 г.</t>
  </si>
  <si>
    <t xml:space="preserve">Локальная смета   </t>
  </si>
  <si>
    <t>Составил</t>
  </si>
  <si>
    <t>Ведущий экономист</t>
  </si>
  <si>
    <t>Сютков А. А.</t>
  </si>
  <si>
    <t>[должность,подпись(инициалы,фамилия)]</t>
  </si>
  <si>
    <t>Проверил</t>
  </si>
  <si>
    <t xml:space="preserve">Финансовый директор </t>
  </si>
  <si>
    <t>Ощепков С. П.</t>
  </si>
  <si>
    <t>Заместитель тех. директора</t>
  </si>
  <si>
    <t>Голдов А.В.</t>
  </si>
  <si>
    <t>Котельная в с. Филипповка Мелекесского района</t>
  </si>
  <si>
    <t>*</t>
  </si>
  <si>
    <t>Всего сНР и СП</t>
  </si>
  <si>
    <t>Переход в текущие цены</t>
  </si>
  <si>
    <t>Итого с зимними</t>
  </si>
  <si>
    <t>руб</t>
  </si>
  <si>
    <t>Согласовываю:</t>
  </si>
  <si>
    <t>Начальник УТЭР, ЖКХ и С</t>
  </si>
  <si>
    <t>И.О.Главы администрации</t>
  </si>
  <si>
    <t>Русаков В.И._________________________</t>
  </si>
  <si>
    <t>Костик Л.А._________________</t>
  </si>
  <si>
    <t>Директор МОУ СОШ  в с.Филипповка</t>
  </si>
  <si>
    <t>Локальная смета №</t>
  </si>
  <si>
    <t>Составлена в текущих ценах</t>
  </si>
  <si>
    <t>На автоматику</t>
  </si>
  <si>
    <t>Котельная для МОУ СОШ в с.Филипповка Мелекесского района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</si>
</sst>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mmmm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7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u val="single"/>
      <sz val="14"/>
      <name val="Times New Roman"/>
      <family val="1"/>
    </font>
    <font>
      <b/>
      <u val="single"/>
      <sz val="12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name val="Arial Cyr"/>
      <family val="2"/>
    </font>
    <font>
      <sz val="10"/>
      <name val="Arial Cyr"/>
      <family val="2"/>
    </font>
    <font>
      <b/>
      <sz val="11"/>
      <name val="Arial Cyr"/>
      <family val="2"/>
    </font>
    <font>
      <sz val="8"/>
      <name val="Times New Roman Cyr"/>
      <family val="0"/>
    </font>
    <font>
      <b/>
      <sz val="10"/>
      <name val="Arial Cyr"/>
      <family val="2"/>
    </font>
    <font>
      <sz val="14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8" fillId="0" borderId="6" xfId="0" applyFont="1" applyBorder="1" applyAlignment="1">
      <alignment/>
    </xf>
    <xf numFmtId="0" fontId="0" fillId="0" borderId="3" xfId="0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wrapText="1" shrinkToFit="1"/>
    </xf>
    <xf numFmtId="0" fontId="12" fillId="0" borderId="0" xfId="0" applyFont="1" applyAlignment="1">
      <alignment horizontal="right" wrapText="1" shrinkToFit="1"/>
    </xf>
    <xf numFmtId="0" fontId="8" fillId="0" borderId="14" xfId="0" applyFont="1" applyBorder="1" applyAlignment="1">
      <alignment/>
    </xf>
    <xf numFmtId="1" fontId="8" fillId="0" borderId="14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right"/>
    </xf>
    <xf numFmtId="2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Border="1" applyAlignment="1">
      <alignment/>
    </xf>
    <xf numFmtId="0" fontId="0" fillId="0" borderId="0" xfId="0" applyBorder="1" applyAlignment="1">
      <alignment/>
    </xf>
    <xf numFmtId="2" fontId="14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4" fillId="0" borderId="0" xfId="0" applyFont="1" applyBorder="1" applyAlignment="1">
      <alignment wrapText="1"/>
    </xf>
    <xf numFmtId="2" fontId="16" fillId="0" borderId="0" xfId="0" applyNumberFormat="1" applyFont="1" applyAlignment="1">
      <alignment horizontal="right"/>
    </xf>
    <xf numFmtId="2" fontId="16" fillId="0" borderId="0" xfId="0" applyNumberFormat="1" applyFont="1" applyBorder="1" applyAlignment="1">
      <alignment horizontal="right"/>
    </xf>
    <xf numFmtId="2" fontId="14" fillId="0" borderId="0" xfId="0" applyNumberFormat="1" applyFont="1" applyAlignment="1">
      <alignment horizontal="right"/>
    </xf>
    <xf numFmtId="0" fontId="14" fillId="0" borderId="0" xfId="0" applyFont="1" applyBorder="1" applyAlignment="1">
      <alignment/>
    </xf>
    <xf numFmtId="2" fontId="14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0" fillId="0" borderId="0" xfId="0" applyBorder="1" applyAlignment="1">
      <alignment wrapText="1"/>
    </xf>
    <xf numFmtId="2" fontId="15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/>
    </xf>
    <xf numFmtId="2" fontId="0" fillId="0" borderId="0" xfId="0" applyNumberFormat="1" applyBorder="1" applyAlignment="1">
      <alignment horizontal="right"/>
    </xf>
    <xf numFmtId="0" fontId="8" fillId="0" borderId="0" xfId="0" applyFont="1" applyAlignment="1">
      <alignment horizontal="left" wrapText="1"/>
    </xf>
    <xf numFmtId="172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17" fillId="0" borderId="0" xfId="0" applyFont="1" applyAlignment="1">
      <alignment/>
    </xf>
    <xf numFmtId="2" fontId="15" fillId="0" borderId="0" xfId="0" applyNumberFormat="1" applyFont="1" applyAlignment="1">
      <alignment horizontal="left" vertical="top"/>
    </xf>
    <xf numFmtId="0" fontId="4" fillId="2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7" fillId="0" borderId="15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center" wrapText="1"/>
    </xf>
    <xf numFmtId="2" fontId="1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2" fontId="14" fillId="0" borderId="0" xfId="0" applyNumberFormat="1" applyFont="1" applyBorder="1" applyAlignment="1">
      <alignment horizontal="right"/>
    </xf>
    <xf numFmtId="2" fontId="0" fillId="0" borderId="0" xfId="0" applyNumberFormat="1" applyAlignment="1">
      <alignment horizontal="right"/>
    </xf>
    <xf numFmtId="0" fontId="9" fillId="0" borderId="0" xfId="0" applyFont="1" applyAlignment="1">
      <alignment horizontal="center" wrapText="1"/>
    </xf>
    <xf numFmtId="2" fontId="0" fillId="0" borderId="0" xfId="0" applyNumberFormat="1" applyAlignment="1">
      <alignment/>
    </xf>
    <xf numFmtId="0" fontId="16" fillId="0" borderId="0" xfId="0" applyFont="1" applyAlignment="1">
      <alignment/>
    </xf>
    <xf numFmtId="2" fontId="16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2" fontId="18" fillId="0" borderId="0" xfId="0" applyNumberFormat="1" applyFont="1" applyAlignment="1">
      <alignment horizontal="right"/>
    </xf>
    <xf numFmtId="0" fontId="16" fillId="0" borderId="0" xfId="0" applyFont="1" applyAlignment="1">
      <alignment wrapText="1"/>
    </xf>
    <xf numFmtId="2" fontId="1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14" fillId="0" borderId="0" xfId="0" applyFont="1" applyAlignment="1">
      <alignment horizontal="right"/>
    </xf>
    <xf numFmtId="0" fontId="16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6" fillId="0" borderId="0" xfId="0" applyNumberFormat="1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lenak\LOCALS~1\Temp\Rar$DI19.438\&#1043;&#1072;&#1079;&#1086;&#1086;&#1073;&#1086;&#1088;&#1091;&#1076;&#1086;&#1074;&#1072;&#1085;&#1080;&#1077;_&#1053;&#105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elenak\LOCALS~1\Temp\Rar$DI19.438\&#1043;&#1072;&#1079;&#1086;&#1086;&#1073;&#1086;&#1088;&#1091;&#1076;&#1086;&#1074;&#1072;&#1085;&#1080;&#1077;_&#1060;&#1080;&#1083;&#1080;&#1087;&#1087;&#1086;&#1074;&#1082;&#107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Source"/>
      <sheetName val="SmtRes"/>
      <sheetName val="ClcR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Лист4 (2)"/>
      <sheetName val="Source"/>
      <sheetName val="SmtRes"/>
      <sheetName val="ClcRes"/>
    </sheetNames>
    <sheetDataSet>
      <sheetData sheetId="2">
        <row r="23">
          <cell r="AL23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7"/>
  <sheetViews>
    <sheetView showZeros="0" view="pageBreakPreview" zoomScale="130" zoomScaleNormal="115" zoomScaleSheetLayoutView="130" workbookViewId="0" topLeftCell="B387">
      <selection activeCell="G368" sqref="G368"/>
    </sheetView>
  </sheetViews>
  <sheetFormatPr defaultColWidth="9.140625" defaultRowHeight="12.75"/>
  <cols>
    <col min="1" max="1" width="3.8515625" style="0" customWidth="1"/>
    <col min="2" max="2" width="8.7109375" style="0" customWidth="1"/>
    <col min="3" max="3" width="34.421875" style="0" customWidth="1"/>
    <col min="4" max="4" width="8.421875" style="0" customWidth="1"/>
    <col min="7" max="7" width="9.421875" style="0" bestFit="1" customWidth="1"/>
    <col min="9" max="9" width="8.421875" style="0" customWidth="1"/>
    <col min="10" max="11" width="8.140625" style="0" customWidth="1"/>
  </cols>
  <sheetData>
    <row r="1" spans="5:12" ht="14.25">
      <c r="E1" s="37"/>
      <c r="F1" s="38"/>
      <c r="G1" s="38"/>
      <c r="H1" s="68" t="s">
        <v>585</v>
      </c>
      <c r="I1" s="69"/>
      <c r="J1" s="40"/>
      <c r="K1" s="40"/>
      <c r="L1" s="41"/>
    </row>
    <row r="2" spans="5:12" ht="15">
      <c r="E2" s="37"/>
      <c r="F2" s="42"/>
      <c r="G2" s="37"/>
      <c r="H2" s="39" t="s">
        <v>586</v>
      </c>
      <c r="I2" s="43"/>
      <c r="J2" s="44"/>
      <c r="K2" s="40"/>
      <c r="L2" s="41"/>
    </row>
    <row r="3" spans="5:12" ht="15">
      <c r="E3" s="37"/>
      <c r="F3" s="42"/>
      <c r="G3" s="37"/>
      <c r="H3" s="39" t="s">
        <v>587</v>
      </c>
      <c r="I3" s="44"/>
      <c r="J3" s="45"/>
      <c r="K3" s="40"/>
      <c r="L3" s="41"/>
    </row>
    <row r="4" spans="5:12" ht="14.25">
      <c r="E4" s="46"/>
      <c r="F4" s="42"/>
      <c r="G4" s="46"/>
      <c r="H4" s="70" t="s">
        <v>588</v>
      </c>
      <c r="I4" s="71"/>
      <c r="J4" s="71"/>
      <c r="K4" s="71"/>
      <c r="L4" s="41"/>
    </row>
    <row r="5" spans="5:12" ht="12.75">
      <c r="E5" s="38"/>
      <c r="F5" s="49"/>
      <c r="G5" s="38"/>
      <c r="H5" s="50"/>
      <c r="I5" s="50"/>
      <c r="J5" s="50"/>
      <c r="K5" s="40"/>
      <c r="L5" s="41"/>
    </row>
    <row r="6" spans="5:13" ht="14.25">
      <c r="E6" s="38"/>
      <c r="F6" s="51"/>
      <c r="G6" s="51"/>
      <c r="H6" s="51"/>
      <c r="I6" s="52"/>
      <c r="J6" s="53"/>
      <c r="K6" s="47" t="s">
        <v>589</v>
      </c>
      <c r="L6" s="48"/>
      <c r="M6" s="48"/>
    </row>
    <row r="8" spans="1:11" ht="12.75" customHeight="1">
      <c r="A8" s="4" t="s">
        <v>547</v>
      </c>
      <c r="D8" s="64" t="str">
        <f>IF(Source!G4&lt;&gt;"",Source!G4,IF(Source!F4&lt;&gt;"",Source!F4,IF(Source!G5&lt;&gt;"",Source!G5,IF(Source!F5&lt;&gt;"",Source!F5,IF(Source!G6&lt;&gt;"",Source!G6,IF(Source!F6&lt;&gt;"",Source!F6,IF(Source!G12&lt;&gt;"",Source!G12," ")))))))</f>
        <v>Котельная в с. Филипповка Мелекесского района</v>
      </c>
      <c r="E8" s="64"/>
      <c r="F8" s="64"/>
      <c r="G8" s="64"/>
      <c r="H8" s="64"/>
      <c r="I8" s="64"/>
      <c r="J8" s="64"/>
      <c r="K8" s="64"/>
    </row>
    <row r="9" spans="6:7" ht="12.75">
      <c r="F9" s="4" t="s">
        <v>548</v>
      </c>
      <c r="G9" s="5" t="str">
        <f>Source!F12</f>
        <v>Газооборудование</v>
      </c>
    </row>
    <row r="11" spans="1:11" ht="15">
      <c r="A11" s="72" t="s">
        <v>591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</row>
    <row r="12" spans="1:11" ht="18.75">
      <c r="A12" s="67" t="str">
        <f>Source!G12</f>
        <v>Котельная в с. Филипповка Мелекесского района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4" spans="1:11" ht="12.75" customHeight="1">
      <c r="A14" s="4" t="s">
        <v>549</v>
      </c>
      <c r="D14" s="64" t="str">
        <f>IF(Source!G12&lt;&gt;"",Source!G12,Source!F12)</f>
        <v>Котельная в с. Филипповка Мелекесского района</v>
      </c>
      <c r="E14" s="64"/>
      <c r="F14" s="64"/>
      <c r="G14" s="64"/>
      <c r="H14" s="64"/>
      <c r="I14" s="64"/>
      <c r="J14" s="64"/>
      <c r="K14" s="64"/>
    </row>
    <row r="16" spans="1:11" ht="12.75">
      <c r="A16" s="4" t="s">
        <v>550</v>
      </c>
      <c r="C16" s="64">
        <f>Source!J12</f>
      </c>
      <c r="D16" s="64"/>
      <c r="E16" s="64"/>
      <c r="F16" s="64"/>
      <c r="G16" s="64"/>
      <c r="H16" s="64"/>
      <c r="I16" s="64"/>
      <c r="J16" s="64"/>
      <c r="K16" s="64"/>
    </row>
    <row r="17" spans="1:4" ht="12.75">
      <c r="A17" s="4" t="s">
        <v>590</v>
      </c>
      <c r="C17" s="55"/>
      <c r="D17" s="6">
        <f>IF(AND('[1]Source'!P9&lt;&gt;0,'[1]Source'!Q9&lt;&gt;0),'[1]Source'!P9,IF('[1]Source'!AF9=0,"",'[1]Source'!AF9))</f>
      </c>
    </row>
    <row r="18" spans="7:11" ht="12.75">
      <c r="G18" s="4" t="s">
        <v>551</v>
      </c>
      <c r="J18" s="7">
        <f>G398/1000</f>
        <v>176.06437</v>
      </c>
      <c r="K18" s="5" t="s">
        <v>552</v>
      </c>
    </row>
    <row r="19" spans="1:11" ht="12.75">
      <c r="A19" s="8"/>
      <c r="B19" s="8"/>
      <c r="C19" s="8"/>
      <c r="D19" s="8"/>
      <c r="E19" s="14" t="s">
        <v>561</v>
      </c>
      <c r="F19" s="13"/>
      <c r="G19" s="14" t="s">
        <v>569</v>
      </c>
      <c r="H19" s="12"/>
      <c r="I19" s="13"/>
      <c r="J19" s="21" t="s">
        <v>570</v>
      </c>
      <c r="K19" s="18"/>
    </row>
    <row r="20" spans="1:11" ht="12.75">
      <c r="A20" s="11" t="s">
        <v>553</v>
      </c>
      <c r="B20" s="11" t="s">
        <v>555</v>
      </c>
      <c r="C20" s="11" t="s">
        <v>557</v>
      </c>
      <c r="D20" s="11" t="s">
        <v>559</v>
      </c>
      <c r="E20" s="16"/>
      <c r="F20" s="16" t="s">
        <v>565</v>
      </c>
      <c r="G20" s="8"/>
      <c r="H20" s="8"/>
      <c r="I20" s="16" t="s">
        <v>565</v>
      </c>
      <c r="J20" s="22" t="s">
        <v>571</v>
      </c>
      <c r="K20" s="19"/>
    </row>
    <row r="21" spans="1:11" ht="12.75">
      <c r="A21" s="11" t="s">
        <v>554</v>
      </c>
      <c r="B21" s="11" t="s">
        <v>556</v>
      </c>
      <c r="C21" s="11" t="s">
        <v>558</v>
      </c>
      <c r="D21" s="11" t="s">
        <v>560</v>
      </c>
      <c r="E21" s="17" t="s">
        <v>562</v>
      </c>
      <c r="F21" s="17" t="s">
        <v>566</v>
      </c>
      <c r="G21" s="11" t="s">
        <v>562</v>
      </c>
      <c r="H21" s="11" t="s">
        <v>564</v>
      </c>
      <c r="I21" s="17" t="s">
        <v>566</v>
      </c>
      <c r="J21" s="23" t="s">
        <v>572</v>
      </c>
      <c r="K21" s="20"/>
    </row>
    <row r="22" spans="1:11" ht="12.75">
      <c r="A22" s="9"/>
      <c r="B22" s="11" t="s">
        <v>583</v>
      </c>
      <c r="C22" s="9"/>
      <c r="D22" s="11"/>
      <c r="E22" s="16" t="s">
        <v>563</v>
      </c>
      <c r="F22" s="16" t="s">
        <v>567</v>
      </c>
      <c r="G22" s="11"/>
      <c r="H22" s="11"/>
      <c r="I22" s="16" t="s">
        <v>567</v>
      </c>
      <c r="J22" s="14" t="s">
        <v>573</v>
      </c>
      <c r="K22" s="24"/>
    </row>
    <row r="23" spans="1:11" ht="12.75">
      <c r="A23" s="10"/>
      <c r="B23" s="15" t="s">
        <v>584</v>
      </c>
      <c r="C23" s="10"/>
      <c r="D23" s="10"/>
      <c r="E23" s="17" t="s">
        <v>564</v>
      </c>
      <c r="F23" s="17" t="s">
        <v>568</v>
      </c>
      <c r="G23" s="10"/>
      <c r="H23" s="10"/>
      <c r="I23" s="17" t="s">
        <v>568</v>
      </c>
      <c r="J23" s="25" t="s">
        <v>574</v>
      </c>
      <c r="K23" s="25" t="s">
        <v>575</v>
      </c>
    </row>
    <row r="24" spans="1:11" ht="12.75">
      <c r="A24" s="25">
        <v>1</v>
      </c>
      <c r="B24" s="25">
        <v>2</v>
      </c>
      <c r="C24" s="25">
        <v>3</v>
      </c>
      <c r="D24" s="25">
        <v>4</v>
      </c>
      <c r="E24" s="25">
        <v>5</v>
      </c>
      <c r="F24" s="25">
        <v>6</v>
      </c>
      <c r="G24" s="25">
        <v>7</v>
      </c>
      <c r="H24" s="25">
        <v>8</v>
      </c>
      <c r="I24" s="25">
        <v>9</v>
      </c>
      <c r="J24" s="25">
        <v>10</v>
      </c>
      <c r="K24" s="25">
        <v>11</v>
      </c>
    </row>
    <row r="26" spans="3:11" ht="15.75">
      <c r="C26" s="26" t="s">
        <v>576</v>
      </c>
      <c r="D26" s="65" t="str">
        <f>IF(Source!C12="1",Source!F20,Source!G20)</f>
        <v>на Автоматику</v>
      </c>
      <c r="E26" s="65"/>
      <c r="F26" s="65"/>
      <c r="G26" s="65"/>
      <c r="H26" s="65"/>
      <c r="I26" s="65"/>
      <c r="J26" s="65"/>
      <c r="K26" s="65"/>
    </row>
    <row r="29" spans="3:11" ht="15.75">
      <c r="C29" s="26" t="s">
        <v>577</v>
      </c>
      <c r="D29" s="65" t="str">
        <f>IF(Source!C12="1",Source!F24,Source!G24)</f>
        <v>Монтажные работы</v>
      </c>
      <c r="E29" s="65"/>
      <c r="F29" s="65"/>
      <c r="G29" s="65"/>
      <c r="H29" s="65"/>
      <c r="I29" s="65"/>
      <c r="J29" s="65"/>
      <c r="K29" s="65"/>
    </row>
    <row r="31" spans="1:11" ht="24">
      <c r="A31" s="27" t="str">
        <f>Source!E28</f>
        <v>1</v>
      </c>
      <c r="B31" s="27" t="str">
        <f>Source!F28</f>
        <v>м11-06-001-1</v>
      </c>
      <c r="C31" s="28" t="str">
        <f>Source!G28</f>
        <v>Щит, масса, кг, до: 50</v>
      </c>
      <c r="D31" s="5">
        <f>Source!I28</f>
        <v>1</v>
      </c>
      <c r="E31" s="30">
        <f>Source!AB28</f>
        <v>183.388</v>
      </c>
      <c r="F31" s="30">
        <f>Source!AD28</f>
        <v>9.87</v>
      </c>
      <c r="G31" s="6">
        <f>Source!O28</f>
        <v>183.39</v>
      </c>
      <c r="H31" s="6">
        <f>Source!S28</f>
        <v>45.53</v>
      </c>
      <c r="I31" s="31">
        <f>Source!Q28</f>
        <v>9.87</v>
      </c>
      <c r="J31" s="30">
        <f>Source!AH28</f>
        <v>5.15</v>
      </c>
      <c r="K31" s="31">
        <f>Source!U28</f>
        <v>5.15</v>
      </c>
    </row>
    <row r="32" spans="3:11" ht="12.75">
      <c r="C32" s="29" t="str">
        <f>Source!H28</f>
        <v>шт.</v>
      </c>
      <c r="D32" s="5"/>
      <c r="E32" s="5">
        <f>Source!AF28</f>
        <v>45.53</v>
      </c>
      <c r="F32" s="5">
        <f>Source!AE28</f>
        <v>0.82</v>
      </c>
      <c r="G32" s="6"/>
      <c r="H32" s="6"/>
      <c r="I32" s="6">
        <f>Source!R28</f>
        <v>0.82</v>
      </c>
      <c r="J32" s="5">
        <f>Source!AI28</f>
        <v>0.07</v>
      </c>
      <c r="K32" s="6">
        <f>Source!V28</f>
        <v>0.07</v>
      </c>
    </row>
    <row r="33" spans="3:4" ht="12.75">
      <c r="C33" s="32" t="s">
        <v>578</v>
      </c>
      <c r="D33" s="33" t="str">
        <f>Source!BO28</f>
        <v>м11-06-001-1</v>
      </c>
    </row>
    <row r="34" spans="3:7" ht="12.75">
      <c r="C34" s="34" t="s">
        <v>579</v>
      </c>
      <c r="D34" s="4">
        <f>Source!AT28</f>
        <v>80</v>
      </c>
      <c r="E34" s="4"/>
      <c r="F34" s="4"/>
      <c r="G34" s="35">
        <f>Source!X28</f>
        <v>37.08</v>
      </c>
    </row>
    <row r="35" spans="3:7" ht="12.75">
      <c r="C35" s="34" t="s">
        <v>580</v>
      </c>
      <c r="D35" s="4">
        <f>Source!AU28</f>
        <v>60</v>
      </c>
      <c r="E35" s="4"/>
      <c r="F35" s="4"/>
      <c r="G35" s="35">
        <f>Source!Y28</f>
        <v>27.81</v>
      </c>
    </row>
    <row r="37" spans="1:11" ht="24">
      <c r="A37" s="27" t="str">
        <f>Source!E29</f>
        <v>2</v>
      </c>
      <c r="B37" s="27" t="str">
        <f>Source!F29</f>
        <v>м11-01-001-7</v>
      </c>
      <c r="C37" s="28" t="str">
        <f>Source!G29</f>
        <v>Конструкции, масса, кг, до: 40</v>
      </c>
      <c r="D37" s="5">
        <f>Source!I29</f>
        <v>1</v>
      </c>
      <c r="E37" s="30">
        <f>Source!AB29</f>
        <v>368.372</v>
      </c>
      <c r="F37" s="30">
        <f>Source!AD29</f>
        <v>29.21</v>
      </c>
      <c r="G37" s="6">
        <f>Source!O29</f>
        <v>368.37</v>
      </c>
      <c r="H37" s="6">
        <f>Source!S29</f>
        <v>22.3</v>
      </c>
      <c r="I37" s="31">
        <f>Source!Q29</f>
        <v>29.21</v>
      </c>
      <c r="J37" s="30">
        <f>Source!AH29</f>
        <v>2.25</v>
      </c>
      <c r="K37" s="31">
        <f>Source!U29</f>
        <v>2.25</v>
      </c>
    </row>
    <row r="38" spans="3:11" ht="12.75">
      <c r="C38" s="29" t="str">
        <f>Source!H29</f>
        <v>шт.</v>
      </c>
      <c r="D38" s="5"/>
      <c r="E38" s="5">
        <f>Source!AF29</f>
        <v>22.3</v>
      </c>
      <c r="F38" s="5">
        <f>Source!AE29</f>
        <v>7.19</v>
      </c>
      <c r="G38" s="6"/>
      <c r="H38" s="6"/>
      <c r="I38" s="6">
        <f>Source!R29</f>
        <v>7.19</v>
      </c>
      <c r="J38" s="5">
        <f>Source!AI29</f>
        <v>0.03</v>
      </c>
      <c r="K38" s="6">
        <f>Source!V29</f>
        <v>0.03</v>
      </c>
    </row>
    <row r="39" spans="3:4" ht="12.75">
      <c r="C39" s="32" t="s">
        <v>578</v>
      </c>
      <c r="D39" s="33" t="str">
        <f>Source!BO29</f>
        <v>м11-01-001-7</v>
      </c>
    </row>
    <row r="40" spans="3:7" ht="12.75">
      <c r="C40" s="34" t="s">
        <v>579</v>
      </c>
      <c r="D40" s="4">
        <f>Source!AT29</f>
        <v>80</v>
      </c>
      <c r="E40" s="4"/>
      <c r="F40" s="4"/>
      <c r="G40" s="35">
        <f>Source!X29</f>
        <v>23.59</v>
      </c>
    </row>
    <row r="41" spans="3:7" ht="12.75">
      <c r="C41" s="34" t="s">
        <v>580</v>
      </c>
      <c r="D41" s="4">
        <f>Source!AU29</f>
        <v>60</v>
      </c>
      <c r="E41" s="4"/>
      <c r="F41" s="4"/>
      <c r="G41" s="35">
        <f>Source!Y29</f>
        <v>17.69</v>
      </c>
    </row>
    <row r="43" spans="1:11" ht="24">
      <c r="A43" s="27" t="str">
        <f>Source!E30</f>
        <v>3</v>
      </c>
      <c r="B43" s="27" t="str">
        <f>Source!F30</f>
        <v>м11-01-001-8</v>
      </c>
      <c r="C43" s="28" t="str">
        <f>Source!G30</f>
        <v>Добавлять за каждые 10 кг свыше 40 кг</v>
      </c>
      <c r="D43" s="5">
        <f>Source!I30</f>
        <v>1</v>
      </c>
      <c r="E43" s="30">
        <f>Source!AB30</f>
        <v>106.26799999999999</v>
      </c>
      <c r="F43" s="30">
        <f>Source!AD30</f>
        <v>8.76</v>
      </c>
      <c r="G43" s="6">
        <f>Source!O30</f>
        <v>106.27</v>
      </c>
      <c r="H43" s="6">
        <f>Source!S30</f>
        <v>11.1</v>
      </c>
      <c r="I43" s="31">
        <f>Source!Q30</f>
        <v>8.76</v>
      </c>
      <c r="J43" s="30">
        <f>Source!AH30</f>
        <v>1.12</v>
      </c>
      <c r="K43" s="31">
        <f>Source!U30</f>
        <v>1.12</v>
      </c>
    </row>
    <row r="44" spans="3:11" ht="12.75">
      <c r="C44" s="29" t="str">
        <f>Source!H30</f>
        <v>10 кг</v>
      </c>
      <c r="D44" s="5"/>
      <c r="E44" s="5">
        <f>Source!AF30</f>
        <v>11.1</v>
      </c>
      <c r="F44" s="5">
        <f>Source!AE30</f>
        <v>2</v>
      </c>
      <c r="G44" s="6"/>
      <c r="H44" s="6"/>
      <c r="I44" s="6">
        <f>Source!R30</f>
        <v>2</v>
      </c>
      <c r="J44" s="5">
        <f>Source!AI30</f>
        <v>0.01</v>
      </c>
      <c r="K44" s="6">
        <f>Source!V30</f>
        <v>0.01</v>
      </c>
    </row>
    <row r="45" spans="3:4" ht="12.75">
      <c r="C45" s="32" t="s">
        <v>578</v>
      </c>
      <c r="D45" s="33" t="str">
        <f>Source!BO30</f>
        <v>м11-01-001-8</v>
      </c>
    </row>
    <row r="46" spans="3:7" ht="12.75">
      <c r="C46" s="34" t="s">
        <v>579</v>
      </c>
      <c r="D46" s="4">
        <f>Source!AT30</f>
        <v>80</v>
      </c>
      <c r="E46" s="4"/>
      <c r="F46" s="4"/>
      <c r="G46" s="35">
        <f>Source!X30</f>
        <v>10.48</v>
      </c>
    </row>
    <row r="47" spans="3:7" ht="12.75">
      <c r="C47" s="34" t="s">
        <v>580</v>
      </c>
      <c r="D47" s="4">
        <f>Source!AU30</f>
        <v>60</v>
      </c>
      <c r="E47" s="4"/>
      <c r="F47" s="4"/>
      <c r="G47" s="35">
        <f>Source!Y30</f>
        <v>7.86</v>
      </c>
    </row>
    <row r="49" spans="1:11" ht="12.75">
      <c r="A49" s="27" t="str">
        <f>Source!E31</f>
        <v>3,1</v>
      </c>
      <c r="B49" s="27">
        <f>Source!F31</f>
        <v>0</v>
      </c>
      <c r="C49" s="28" t="str">
        <f>Source!G31</f>
        <v>Зажим наборный</v>
      </c>
      <c r="D49" s="5">
        <f>Source!I31</f>
        <v>0.03</v>
      </c>
      <c r="E49" s="30">
        <f>Source!AB31</f>
        <v>6963.879999999999</v>
      </c>
      <c r="F49" s="30">
        <f>Source!AD31</f>
        <v>0</v>
      </c>
      <c r="G49" s="6">
        <f>Source!O31</f>
        <v>208.92</v>
      </c>
      <c r="H49" s="6">
        <f>Source!S31</f>
        <v>0</v>
      </c>
      <c r="I49" s="31">
        <f>Source!Q31</f>
        <v>0</v>
      </c>
      <c r="J49" s="30">
        <f>Source!AH31</f>
        <v>0</v>
      </c>
      <c r="K49" s="31">
        <f>Source!U31</f>
        <v>0</v>
      </c>
    </row>
    <row r="50" spans="3:11" ht="12.75">
      <c r="C50" s="29" t="str">
        <f>Source!H31</f>
        <v>1000ШТ</v>
      </c>
      <c r="D50" s="5"/>
      <c r="E50" s="5">
        <f>Source!AF31</f>
        <v>0</v>
      </c>
      <c r="F50" s="5">
        <f>Source!AE31</f>
        <v>0</v>
      </c>
      <c r="G50" s="6"/>
      <c r="H50" s="6"/>
      <c r="I50" s="6">
        <f>Source!R31</f>
        <v>0</v>
      </c>
      <c r="J50" s="5">
        <f>Source!AI31</f>
        <v>0</v>
      </c>
      <c r="K50" s="6">
        <f>Source!V31</f>
        <v>0</v>
      </c>
    </row>
    <row r="51" spans="1:11" ht="12.75">
      <c r="A51" s="27" t="str">
        <f>Source!E32</f>
        <v>3,2</v>
      </c>
      <c r="B51" s="27">
        <f>Source!F32</f>
        <v>0</v>
      </c>
      <c r="C51" s="28" t="str">
        <f>Source!G32</f>
        <v>Ящик навесной</v>
      </c>
      <c r="D51" s="5">
        <f>Source!I32</f>
        <v>1</v>
      </c>
      <c r="E51" s="30">
        <f>Source!AB32</f>
        <v>107.23999999999998</v>
      </c>
      <c r="F51" s="30">
        <f>Source!AD32</f>
        <v>0</v>
      </c>
      <c r="G51" s="6">
        <f>Source!O32</f>
        <v>107.24</v>
      </c>
      <c r="H51" s="6">
        <f>Source!S32</f>
        <v>0</v>
      </c>
      <c r="I51" s="31">
        <f>Source!Q32</f>
        <v>0</v>
      </c>
      <c r="J51" s="30">
        <f>Source!AH32</f>
        <v>0</v>
      </c>
      <c r="K51" s="31">
        <f>Source!U32</f>
        <v>0</v>
      </c>
    </row>
    <row r="52" spans="3:11" ht="12.75">
      <c r="C52" s="29" t="str">
        <f>Source!H32</f>
        <v>шт.</v>
      </c>
      <c r="D52" s="5"/>
      <c r="E52" s="5">
        <f>Source!AF32</f>
        <v>0</v>
      </c>
      <c r="F52" s="5">
        <f>Source!AE32</f>
        <v>0</v>
      </c>
      <c r="G52" s="6"/>
      <c r="H52" s="6"/>
      <c r="I52" s="6">
        <f>Source!R32</f>
        <v>0</v>
      </c>
      <c r="J52" s="5">
        <f>Source!AI32</f>
        <v>0</v>
      </c>
      <c r="K52" s="6">
        <f>Source!V32</f>
        <v>0</v>
      </c>
    </row>
    <row r="53" spans="3:4" ht="12.75">
      <c r="C53" s="32" t="s">
        <v>578</v>
      </c>
      <c r="D53" s="33" t="str">
        <f>Source!BO32</f>
        <v>500-9398</v>
      </c>
    </row>
    <row r="54" spans="1:11" ht="12.75">
      <c r="A54" s="27" t="str">
        <f>Source!E33</f>
        <v>3,3</v>
      </c>
      <c r="B54" s="27">
        <f>Source!F33</f>
      </c>
      <c r="C54" s="28" t="str">
        <f>Source!G33</f>
        <v>мостик М3Н1.У2</v>
      </c>
      <c r="D54" s="5">
        <f>Source!I33</f>
        <v>1</v>
      </c>
      <c r="E54" s="30">
        <f>Source!AB33</f>
        <v>40.964</v>
      </c>
      <c r="F54" s="30">
        <f>Source!AD33</f>
        <v>0</v>
      </c>
      <c r="G54" s="6">
        <f>Source!O33</f>
        <v>40.96</v>
      </c>
      <c r="H54" s="6">
        <f>Source!S33</f>
        <v>0</v>
      </c>
      <c r="I54" s="31">
        <f>Source!Q33</f>
        <v>0</v>
      </c>
      <c r="J54" s="30">
        <f>Source!AH33</f>
        <v>0</v>
      </c>
      <c r="K54" s="31">
        <f>Source!U33</f>
        <v>0</v>
      </c>
    </row>
    <row r="55" spans="3:11" ht="12.75">
      <c r="C55" s="29" t="str">
        <f>Source!H33</f>
        <v>ШТ</v>
      </c>
      <c r="D55" s="5"/>
      <c r="E55" s="5">
        <f>Source!AF33</f>
        <v>0</v>
      </c>
      <c r="F55" s="5">
        <f>Source!AE33</f>
        <v>0</v>
      </c>
      <c r="G55" s="6"/>
      <c r="H55" s="6"/>
      <c r="I55" s="6">
        <f>Source!R33</f>
        <v>0</v>
      </c>
      <c r="J55" s="5">
        <f>Source!AI33</f>
        <v>0</v>
      </c>
      <c r="K55" s="6">
        <f>Source!V33</f>
        <v>0</v>
      </c>
    </row>
    <row r="56" spans="1:11" ht="12.75">
      <c r="A56" s="27" t="str">
        <f>Source!E34</f>
        <v>3,4</v>
      </c>
      <c r="B56" s="27">
        <f>Source!F34</f>
      </c>
      <c r="C56" s="28" t="str">
        <f>Source!G34</f>
        <v>Колодка маркировочная</v>
      </c>
      <c r="D56" s="5">
        <f>Source!I34</f>
        <v>0.002</v>
      </c>
      <c r="E56" s="30">
        <f>Source!AB34</f>
        <v>930.9999999999999</v>
      </c>
      <c r="F56" s="30">
        <f>Source!AD34</f>
        <v>0</v>
      </c>
      <c r="G56" s="6">
        <f>Source!O34</f>
        <v>1.86</v>
      </c>
      <c r="H56" s="6">
        <f>Source!S34</f>
        <v>0</v>
      </c>
      <c r="I56" s="31">
        <f>Source!Q34</f>
        <v>0</v>
      </c>
      <c r="J56" s="30">
        <f>Source!AH34</f>
        <v>0</v>
      </c>
      <c r="K56" s="31">
        <f>Source!U34</f>
        <v>0</v>
      </c>
    </row>
    <row r="57" spans="3:11" ht="12.75">
      <c r="C57" s="29" t="str">
        <f>Source!H34</f>
        <v>1000ШТ</v>
      </c>
      <c r="D57" s="5"/>
      <c r="E57" s="5">
        <f>Source!AF34</f>
        <v>0</v>
      </c>
      <c r="F57" s="5">
        <f>Source!AE34</f>
        <v>0</v>
      </c>
      <c r="G57" s="6"/>
      <c r="H57" s="6"/>
      <c r="I57" s="6">
        <f>Source!R34</f>
        <v>0</v>
      </c>
      <c r="J57" s="5">
        <f>Source!AI34</f>
        <v>0</v>
      </c>
      <c r="K57" s="6">
        <f>Source!V34</f>
        <v>0</v>
      </c>
    </row>
    <row r="58" spans="1:11" ht="12.75">
      <c r="A58" s="27" t="str">
        <f>Source!E35</f>
        <v>3,5</v>
      </c>
      <c r="B58" s="27">
        <f>Source!F35</f>
      </c>
      <c r="C58" s="28" t="str">
        <f>Source!G35</f>
        <v>Рейка</v>
      </c>
      <c r="D58" s="5">
        <f>Source!I35</f>
        <v>1</v>
      </c>
      <c r="E58" s="30">
        <f>Source!AB35</f>
        <v>5.586</v>
      </c>
      <c r="F58" s="30">
        <f>Source!AD35</f>
        <v>0</v>
      </c>
      <c r="G58" s="6">
        <f>Source!O35</f>
        <v>5.59</v>
      </c>
      <c r="H58" s="6">
        <f>Source!S35</f>
        <v>0</v>
      </c>
      <c r="I58" s="31">
        <f>Source!Q35</f>
        <v>0</v>
      </c>
      <c r="J58" s="30">
        <f>Source!AH35</f>
        <v>0</v>
      </c>
      <c r="K58" s="31">
        <f>Source!U35</f>
        <v>0</v>
      </c>
    </row>
    <row r="59" spans="3:11" ht="12.75">
      <c r="C59" s="29" t="str">
        <f>Source!H35</f>
        <v>ШТ</v>
      </c>
      <c r="D59" s="5"/>
      <c r="E59" s="5">
        <f>Source!AF35</f>
        <v>0</v>
      </c>
      <c r="F59" s="5">
        <f>Source!AE35</f>
        <v>0</v>
      </c>
      <c r="G59" s="6"/>
      <c r="H59" s="6"/>
      <c r="I59" s="6">
        <f>Source!R35</f>
        <v>0</v>
      </c>
      <c r="J59" s="5">
        <f>Source!AI35</f>
        <v>0</v>
      </c>
      <c r="K59" s="6">
        <f>Source!V35</f>
        <v>0</v>
      </c>
    </row>
    <row r="60" spans="1:11" ht="24">
      <c r="A60" s="27" t="str">
        <f>Source!E36</f>
        <v>4</v>
      </c>
      <c r="B60" s="27" t="str">
        <f>Source!F36</f>
        <v>м11-02-001-1</v>
      </c>
      <c r="C60" s="28" t="str">
        <f>Source!G36</f>
        <v>Прибор, масса, кг, до: 1,5</v>
      </c>
      <c r="D60" s="5">
        <f>Source!I36</f>
        <v>17</v>
      </c>
      <c r="E60" s="30">
        <f>Source!AB36</f>
        <v>11.904</v>
      </c>
      <c r="F60" s="30">
        <f>Source!AD36</f>
        <v>0</v>
      </c>
      <c r="G60" s="6">
        <f>Source!O36</f>
        <v>202.37</v>
      </c>
      <c r="H60" s="6">
        <f>Source!S36</f>
        <v>173.57</v>
      </c>
      <c r="I60" s="31">
        <f>Source!Q36</f>
        <v>0</v>
      </c>
      <c r="J60" s="30">
        <f>Source!AH36</f>
        <v>1.03</v>
      </c>
      <c r="K60" s="31">
        <f>Source!U36</f>
        <v>17.51</v>
      </c>
    </row>
    <row r="61" spans="3:11" ht="12.75">
      <c r="C61" s="29" t="str">
        <f>Source!H36</f>
        <v>шт.</v>
      </c>
      <c r="D61" s="5"/>
      <c r="E61" s="5">
        <f>Source!AF36</f>
        <v>10.21</v>
      </c>
      <c r="F61" s="5">
        <f>Source!AE36</f>
        <v>0</v>
      </c>
      <c r="G61" s="6"/>
      <c r="H61" s="6"/>
      <c r="I61" s="6">
        <f>Source!R36</f>
        <v>0</v>
      </c>
      <c r="J61" s="5">
        <f>Source!AI36</f>
        <v>0</v>
      </c>
      <c r="K61" s="6">
        <f>Source!V36</f>
        <v>0</v>
      </c>
    </row>
    <row r="62" spans="3:4" ht="12.75">
      <c r="C62" s="32" t="s">
        <v>578</v>
      </c>
      <c r="D62" s="33" t="str">
        <f>Source!BO36</f>
        <v>м11-02-001-1</v>
      </c>
    </row>
    <row r="63" spans="3:7" ht="12.75">
      <c r="C63" s="34" t="s">
        <v>579</v>
      </c>
      <c r="D63" s="4">
        <f>Source!AT36</f>
        <v>80</v>
      </c>
      <c r="E63" s="4"/>
      <c r="F63" s="4"/>
      <c r="G63" s="35">
        <f>Source!X36</f>
        <v>138.86</v>
      </c>
    </row>
    <row r="64" spans="3:7" ht="12.75">
      <c r="C64" s="34" t="s">
        <v>580</v>
      </c>
      <c r="D64" s="4">
        <f>Source!AU36</f>
        <v>60</v>
      </c>
      <c r="E64" s="4"/>
      <c r="F64" s="4"/>
      <c r="G64" s="35">
        <f>Source!Y36</f>
        <v>104.14</v>
      </c>
    </row>
    <row r="66" spans="1:11" ht="24">
      <c r="A66" s="27" t="str">
        <f>Source!E37</f>
        <v>5</v>
      </c>
      <c r="B66" s="27" t="str">
        <f>Source!F37</f>
        <v>м11-03-011-2</v>
      </c>
      <c r="C66" s="28" t="str">
        <f>Source!G37</f>
        <v>Прибор, категория сложности: II</v>
      </c>
      <c r="D66" s="5">
        <f>Source!I37</f>
        <v>3</v>
      </c>
      <c r="E66" s="30">
        <f>Source!AB37</f>
        <v>157.764</v>
      </c>
      <c r="F66" s="30">
        <f>Source!AD37</f>
        <v>43.07</v>
      </c>
      <c r="G66" s="6">
        <f>Source!O37</f>
        <v>473.29</v>
      </c>
      <c r="H66" s="6">
        <f>Source!S37</f>
        <v>266.97</v>
      </c>
      <c r="I66" s="31">
        <f>Source!Q37</f>
        <v>129.21</v>
      </c>
      <c r="J66" s="30">
        <f>Source!AH37</f>
        <v>8.98</v>
      </c>
      <c r="K66" s="31">
        <f>Source!U37</f>
        <v>26.94</v>
      </c>
    </row>
    <row r="67" spans="3:11" ht="12.75">
      <c r="C67" s="29" t="str">
        <f>Source!H37</f>
        <v>КОМПЛЕКТ</v>
      </c>
      <c r="D67" s="5"/>
      <c r="E67" s="5">
        <f>Source!AF37</f>
        <v>88.99</v>
      </c>
      <c r="F67" s="5">
        <f>Source!AE37</f>
        <v>5.2</v>
      </c>
      <c r="G67" s="6"/>
      <c r="H67" s="6"/>
      <c r="I67" s="6">
        <f>Source!R37</f>
        <v>15.6</v>
      </c>
      <c r="J67" s="5">
        <f>Source!AI37</f>
        <v>0.44</v>
      </c>
      <c r="K67" s="6">
        <f>Source!V37</f>
        <v>1.32</v>
      </c>
    </row>
    <row r="68" spans="3:4" ht="12.75">
      <c r="C68" s="32" t="s">
        <v>578</v>
      </c>
      <c r="D68" s="33" t="str">
        <f>Source!BO37</f>
        <v>м11-03-011-2</v>
      </c>
    </row>
    <row r="69" spans="3:7" ht="12.75">
      <c r="C69" s="34" t="s">
        <v>579</v>
      </c>
      <c r="D69" s="4">
        <f>Source!AT37</f>
        <v>80</v>
      </c>
      <c r="E69" s="4"/>
      <c r="F69" s="4"/>
      <c r="G69" s="35">
        <f>Source!X37</f>
        <v>226.06</v>
      </c>
    </row>
    <row r="70" spans="3:7" ht="12.75">
      <c r="C70" s="34" t="s">
        <v>580</v>
      </c>
      <c r="D70" s="4">
        <f>Source!AU37</f>
        <v>60</v>
      </c>
      <c r="E70" s="4"/>
      <c r="F70" s="4"/>
      <c r="G70" s="35">
        <f>Source!Y37</f>
        <v>169.54</v>
      </c>
    </row>
    <row r="72" spans="1:11" ht="24">
      <c r="A72" s="27" t="str">
        <f>Source!E38</f>
        <v>6</v>
      </c>
      <c r="B72" s="27" t="str">
        <f>Source!F38</f>
        <v>м11-06-002-2</v>
      </c>
      <c r="C72" s="28" t="str">
        <f>Source!G38</f>
        <v>Проводки в щитах и пультах электрические: малогабаритных</v>
      </c>
      <c r="D72" s="5">
        <f>Source!I38</f>
        <v>0.5</v>
      </c>
      <c r="E72" s="30">
        <f>Source!AB38</f>
        <v>147.218</v>
      </c>
      <c r="F72" s="30">
        <f>Source!AD38</f>
        <v>0</v>
      </c>
      <c r="G72" s="6">
        <f>Source!O38</f>
        <v>73.61</v>
      </c>
      <c r="H72" s="6">
        <f>Source!S38</f>
        <v>68.7</v>
      </c>
      <c r="I72" s="31">
        <f>Source!Q38</f>
        <v>0</v>
      </c>
      <c r="J72" s="30">
        <f>Source!AH38</f>
        <v>12.4</v>
      </c>
      <c r="K72" s="31">
        <f>Source!U38</f>
        <v>6.2</v>
      </c>
    </row>
    <row r="73" spans="3:11" ht="12.75">
      <c r="C73" s="29" t="str">
        <f>Source!H38</f>
        <v>100 м</v>
      </c>
      <c r="D73" s="5"/>
      <c r="E73" s="5">
        <f>Source!AF38</f>
        <v>137.39</v>
      </c>
      <c r="F73" s="5">
        <f>Source!AE38</f>
        <v>0</v>
      </c>
      <c r="G73" s="6"/>
      <c r="H73" s="6"/>
      <c r="I73" s="6">
        <f>Source!R38</f>
        <v>0</v>
      </c>
      <c r="J73" s="5">
        <f>Source!AI38</f>
        <v>0</v>
      </c>
      <c r="K73" s="6">
        <f>Source!V38</f>
        <v>0</v>
      </c>
    </row>
    <row r="74" spans="3:4" ht="12.75">
      <c r="C74" s="32" t="s">
        <v>578</v>
      </c>
      <c r="D74" s="33" t="str">
        <f>Source!BO38</f>
        <v>м11-06-002-2</v>
      </c>
    </row>
    <row r="75" spans="3:7" ht="12.75">
      <c r="C75" s="34" t="s">
        <v>579</v>
      </c>
      <c r="D75" s="4">
        <f>Source!AT38</f>
        <v>80</v>
      </c>
      <c r="E75" s="4"/>
      <c r="F75" s="4"/>
      <c r="G75" s="35">
        <f>Source!X38</f>
        <v>54.96</v>
      </c>
    </row>
    <row r="76" spans="3:7" ht="12.75">
      <c r="C76" s="34" t="s">
        <v>580</v>
      </c>
      <c r="D76" s="4">
        <f>Source!AU38</f>
        <v>60</v>
      </c>
      <c r="E76" s="4"/>
      <c r="F76" s="4"/>
      <c r="G76" s="35">
        <f>Source!Y38</f>
        <v>41.22</v>
      </c>
    </row>
    <row r="78" spans="1:11" ht="48">
      <c r="A78" s="27" t="str">
        <f>Source!E39</f>
        <v>6,1</v>
      </c>
      <c r="B78" s="27">
        <f>Source!F39</f>
        <v>0</v>
      </c>
      <c r="C78" s="28" t="str">
        <f>Source!G39</f>
        <v>Провода силовые для электрических установок на напряжение до 450 В с медной жилой марки ПВ3, сечением 1 мм2</v>
      </c>
      <c r="D78" s="5">
        <f>Source!I39</f>
        <v>0.05</v>
      </c>
      <c r="E78" s="30">
        <f>Source!AB39</f>
        <v>1615.852</v>
      </c>
      <c r="F78" s="30">
        <f>Source!AD39</f>
        <v>0</v>
      </c>
      <c r="G78" s="6">
        <f>Source!O39</f>
        <v>80.79</v>
      </c>
      <c r="H78" s="6">
        <f>Source!S39</f>
        <v>0</v>
      </c>
      <c r="I78" s="31">
        <f>Source!Q39</f>
        <v>0</v>
      </c>
      <c r="J78" s="30">
        <f>Source!AH39</f>
        <v>0</v>
      </c>
      <c r="K78" s="31">
        <f>Source!U39</f>
        <v>0</v>
      </c>
    </row>
    <row r="79" spans="3:11" ht="12.75">
      <c r="C79" s="29" t="str">
        <f>Source!H39</f>
        <v>1000 м</v>
      </c>
      <c r="D79" s="5"/>
      <c r="E79" s="5">
        <f>Source!AF39</f>
        <v>0</v>
      </c>
      <c r="F79" s="5">
        <f>Source!AE39</f>
        <v>0</v>
      </c>
      <c r="G79" s="6"/>
      <c r="H79" s="6"/>
      <c r="I79" s="6">
        <f>Source!R39</f>
        <v>0</v>
      </c>
      <c r="J79" s="5">
        <f>Source!AI39</f>
        <v>0</v>
      </c>
      <c r="K79" s="6">
        <f>Source!V39</f>
        <v>0</v>
      </c>
    </row>
    <row r="80" spans="3:4" ht="12.75">
      <c r="C80" s="32" t="s">
        <v>578</v>
      </c>
      <c r="D80" s="33" t="str">
        <f>Source!BO39</f>
        <v>507-0262</v>
      </c>
    </row>
    <row r="81" spans="1:11" ht="36">
      <c r="A81" s="27" t="str">
        <f>Source!E40</f>
        <v>7</v>
      </c>
      <c r="B81" s="27" t="str">
        <f>Source!F40</f>
        <v>м08-02-148-1</v>
      </c>
      <c r="C81" s="28" t="str">
        <f>Source!G40</f>
        <v>Кабели до 35 кВ в проложенных трубах, блоках и коробах: Кабель, масса 1 м, кг, до 1</v>
      </c>
      <c r="D81" s="5">
        <f>Source!I40</f>
        <v>0.14</v>
      </c>
      <c r="E81" s="30">
        <f>Source!AB40</f>
        <v>729.2239999999999</v>
      </c>
      <c r="F81" s="30">
        <f>Source!AD40</f>
        <v>409.71</v>
      </c>
      <c r="G81" s="6">
        <f>Source!O40</f>
        <v>102.09</v>
      </c>
      <c r="H81" s="6">
        <f>Source!S40</f>
        <v>16.68</v>
      </c>
      <c r="I81" s="31">
        <f>Source!Q40</f>
        <v>57.36</v>
      </c>
      <c r="J81" s="30">
        <f>Source!AH40</f>
        <v>12.4</v>
      </c>
      <c r="K81" s="31">
        <f>Source!U40</f>
        <v>1.74</v>
      </c>
    </row>
    <row r="82" spans="3:11" ht="12.75">
      <c r="C82" s="29" t="str">
        <f>Source!H40</f>
        <v>100 м</v>
      </c>
      <c r="D82" s="5"/>
      <c r="E82" s="5">
        <f>Source!AF40</f>
        <v>119.16</v>
      </c>
      <c r="F82" s="5">
        <f>Source!AE40</f>
        <v>44.65</v>
      </c>
      <c r="G82" s="6"/>
      <c r="H82" s="6"/>
      <c r="I82" s="6">
        <f>Source!R40</f>
        <v>6.25</v>
      </c>
      <c r="J82" s="5">
        <f>Source!AI40</f>
        <v>3.78</v>
      </c>
      <c r="K82" s="6">
        <f>Source!V40</f>
        <v>0.53</v>
      </c>
    </row>
    <row r="83" spans="3:4" ht="12.75">
      <c r="C83" s="32" t="s">
        <v>578</v>
      </c>
      <c r="D83" s="33" t="str">
        <f>Source!BO40</f>
        <v>м08-02-148-1</v>
      </c>
    </row>
    <row r="84" spans="3:7" ht="12.75">
      <c r="C84" s="34" t="s">
        <v>579</v>
      </c>
      <c r="D84" s="4">
        <f>Source!AT40</f>
        <v>95</v>
      </c>
      <c r="E84" s="4"/>
      <c r="F84" s="4"/>
      <c r="G84" s="35">
        <f>Source!X40</f>
        <v>21.78</v>
      </c>
    </row>
    <row r="85" spans="3:7" ht="12.75">
      <c r="C85" s="34" t="s">
        <v>580</v>
      </c>
      <c r="D85" s="4">
        <f>Source!AU40</f>
        <v>65</v>
      </c>
      <c r="E85" s="4"/>
      <c r="F85" s="4"/>
      <c r="G85" s="35">
        <f>Source!Y40</f>
        <v>14.9</v>
      </c>
    </row>
    <row r="87" spans="1:11" ht="72">
      <c r="A87" s="27" t="str">
        <f>Source!E41</f>
        <v>8</v>
      </c>
      <c r="B87" s="27" t="str">
        <f>Source!F41</f>
        <v>м08-02-402-1</v>
      </c>
      <c r="C87" s="28" t="str">
        <f>Source!G41</f>
        <v>Кабели по установленным конструкциям и лоткам с установкой ответвительных коробок: Кабель двух-четырехжильный в помещениях с нормальной средой сечением жилы до 10 мм2</v>
      </c>
      <c r="D87" s="5">
        <f>Source!I41</f>
        <v>0.03</v>
      </c>
      <c r="E87" s="30">
        <f>Source!AB41</f>
        <v>791.81</v>
      </c>
      <c r="F87" s="30">
        <f>Source!AD41</f>
        <v>506.81</v>
      </c>
      <c r="G87" s="6">
        <f>Source!O41</f>
        <v>23.75</v>
      </c>
      <c r="H87" s="6">
        <f>Source!S41</f>
        <v>4.31</v>
      </c>
      <c r="I87" s="31">
        <f>Source!Q41</f>
        <v>15.2</v>
      </c>
      <c r="J87" s="30">
        <f>Source!AH41</f>
        <v>15.3</v>
      </c>
      <c r="K87" s="31">
        <f>Source!U41</f>
        <v>0.46</v>
      </c>
    </row>
    <row r="88" spans="3:11" ht="12.75">
      <c r="C88" s="29" t="str">
        <f>Source!H41</f>
        <v>100 м</v>
      </c>
      <c r="D88" s="5"/>
      <c r="E88" s="5">
        <f>Source!AF41</f>
        <v>143.67</v>
      </c>
      <c r="F88" s="5">
        <f>Source!AE41</f>
        <v>84.68</v>
      </c>
      <c r="G88" s="6"/>
      <c r="H88" s="6"/>
      <c r="I88" s="6">
        <f>Source!R41</f>
        <v>2.54</v>
      </c>
      <c r="J88" s="5">
        <f>Source!AI41</f>
        <v>7.17</v>
      </c>
      <c r="K88" s="6">
        <f>Source!V41</f>
        <v>0.22</v>
      </c>
    </row>
    <row r="89" spans="3:4" ht="12.75">
      <c r="C89" s="32" t="s">
        <v>578</v>
      </c>
      <c r="D89" s="33" t="str">
        <f>Source!BO41</f>
        <v>м08-02-402-1</v>
      </c>
    </row>
    <row r="90" spans="3:7" ht="12.75">
      <c r="C90" s="34" t="s">
        <v>579</v>
      </c>
      <c r="D90" s="4">
        <f>Source!AT41</f>
        <v>95</v>
      </c>
      <c r="E90" s="4"/>
      <c r="F90" s="4"/>
      <c r="G90" s="35">
        <f>Source!X41</f>
        <v>6.51</v>
      </c>
    </row>
    <row r="91" spans="3:7" ht="12.75">
      <c r="C91" s="34" t="s">
        <v>580</v>
      </c>
      <c r="D91" s="4">
        <f>Source!AU41</f>
        <v>65</v>
      </c>
      <c r="E91" s="4"/>
      <c r="F91" s="4"/>
      <c r="G91" s="35">
        <f>Source!Y41</f>
        <v>4.45</v>
      </c>
    </row>
    <row r="93" spans="1:11" ht="48">
      <c r="A93" s="27" t="str">
        <f>Source!E42</f>
        <v>8,1</v>
      </c>
      <c r="B93" s="27">
        <f>Source!F42</f>
        <v>0</v>
      </c>
      <c r="C93" s="28" t="str">
        <f>Source!G42</f>
        <v>Провода силовые для электрических установок на напряжение до 450 В с медной жилой марки ПВ3, сечением 1 мм2</v>
      </c>
      <c r="D93" s="5">
        <f>Source!I42</f>
        <v>0.018</v>
      </c>
      <c r="E93" s="30">
        <f>Source!AB42</f>
        <v>1615.852</v>
      </c>
      <c r="F93" s="30">
        <f>Source!AD42</f>
        <v>0</v>
      </c>
      <c r="G93" s="6">
        <f>Source!O42</f>
        <v>29.09</v>
      </c>
      <c r="H93" s="6">
        <f>Source!S42</f>
        <v>0</v>
      </c>
      <c r="I93" s="31">
        <f>Source!Q42</f>
        <v>0</v>
      </c>
      <c r="J93" s="30">
        <f>Source!AH42</f>
        <v>0</v>
      </c>
      <c r="K93" s="31">
        <f>Source!U42</f>
        <v>0</v>
      </c>
    </row>
    <row r="94" spans="3:11" ht="12.75">
      <c r="C94" s="29" t="str">
        <f>Source!H42</f>
        <v>1000 м</v>
      </c>
      <c r="D94" s="5"/>
      <c r="E94" s="5">
        <f>Source!AF42</f>
        <v>0</v>
      </c>
      <c r="F94" s="5">
        <f>Source!AE42</f>
        <v>0</v>
      </c>
      <c r="G94" s="6"/>
      <c r="H94" s="6"/>
      <c r="I94" s="6">
        <f>Source!R42</f>
        <v>0</v>
      </c>
      <c r="J94" s="5">
        <f>Source!AI42</f>
        <v>0</v>
      </c>
      <c r="K94" s="6">
        <f>Source!V42</f>
        <v>0</v>
      </c>
    </row>
    <row r="95" spans="3:4" ht="12.75">
      <c r="C95" s="32" t="s">
        <v>578</v>
      </c>
      <c r="D95" s="33" t="str">
        <f>Source!BO42</f>
        <v>507-0262</v>
      </c>
    </row>
    <row r="96" spans="1:11" ht="48">
      <c r="A96" s="27" t="str">
        <f>Source!E43</f>
        <v>8,2</v>
      </c>
      <c r="B96" s="27">
        <f>Source!F43</f>
        <v>0</v>
      </c>
      <c r="C96" s="28" t="str">
        <f>Source!G43</f>
        <v>Кабели контрольные с медными жилами с поливинилхлоридной изоляцией и оболочкой марки КВВГ, с числом жил - 4 и сечением 1 мм2</v>
      </c>
      <c r="D96" s="5">
        <f>Source!I43</f>
        <v>0.009</v>
      </c>
      <c r="E96" s="30">
        <f>Source!AB43</f>
        <v>5665.94</v>
      </c>
      <c r="F96" s="30">
        <f>Source!AD43</f>
        <v>0</v>
      </c>
      <c r="G96" s="6">
        <f>Source!O43</f>
        <v>50.99</v>
      </c>
      <c r="H96" s="6">
        <f>Source!S43</f>
        <v>0</v>
      </c>
      <c r="I96" s="31">
        <f>Source!Q43</f>
        <v>0</v>
      </c>
      <c r="J96" s="30">
        <f>Source!AH43</f>
        <v>0</v>
      </c>
      <c r="K96" s="31">
        <f>Source!U43</f>
        <v>0</v>
      </c>
    </row>
    <row r="97" spans="3:11" ht="12.75">
      <c r="C97" s="29" t="str">
        <f>Source!H43</f>
        <v>1000 м</v>
      </c>
      <c r="D97" s="5"/>
      <c r="E97" s="5">
        <f>Source!AF43</f>
        <v>0</v>
      </c>
      <c r="F97" s="5">
        <f>Source!AE43</f>
        <v>0</v>
      </c>
      <c r="G97" s="6"/>
      <c r="H97" s="6"/>
      <c r="I97" s="6">
        <f>Source!R43</f>
        <v>0</v>
      </c>
      <c r="J97" s="5">
        <f>Source!AI43</f>
        <v>0</v>
      </c>
      <c r="K97" s="6">
        <f>Source!V43</f>
        <v>0</v>
      </c>
    </row>
    <row r="98" spans="3:4" ht="12.75">
      <c r="C98" s="32" t="s">
        <v>578</v>
      </c>
      <c r="D98" s="33" t="str">
        <f>Source!BO43</f>
        <v>503-0011</v>
      </c>
    </row>
    <row r="99" spans="1:11" ht="48">
      <c r="A99" s="27" t="str">
        <f>Source!E44</f>
        <v>8,3</v>
      </c>
      <c r="B99" s="27">
        <f>Source!F44</f>
        <v>0</v>
      </c>
      <c r="C99" s="28" t="str">
        <f>Source!G44</f>
        <v>Кабели контрольные с медными жилами с поливинилхлоридной изоляцией и оболочкой марки КВВГ, с числом жил - 5 и сечением 1 мм2</v>
      </c>
      <c r="D99" s="5">
        <f>Source!I44</f>
        <v>0.003</v>
      </c>
      <c r="E99" s="30">
        <f>Source!AB44</f>
        <v>7107.6179999999995</v>
      </c>
      <c r="F99" s="30">
        <f>Source!AD44</f>
        <v>0</v>
      </c>
      <c r="G99" s="6">
        <f>Source!O44</f>
        <v>21.32</v>
      </c>
      <c r="H99" s="6">
        <f>Source!S44</f>
        <v>0</v>
      </c>
      <c r="I99" s="31">
        <f>Source!Q44</f>
        <v>0</v>
      </c>
      <c r="J99" s="30">
        <f>Source!AH44</f>
        <v>0</v>
      </c>
      <c r="K99" s="31">
        <f>Source!U44</f>
        <v>0</v>
      </c>
    </row>
    <row r="100" spans="3:11" ht="12.75">
      <c r="C100" s="29" t="str">
        <f>Source!H44</f>
        <v>1000 м</v>
      </c>
      <c r="D100" s="5"/>
      <c r="E100" s="5">
        <f>Source!AF44</f>
        <v>0</v>
      </c>
      <c r="F100" s="5">
        <f>Source!AE44</f>
        <v>0</v>
      </c>
      <c r="G100" s="6"/>
      <c r="H100" s="6"/>
      <c r="I100" s="6">
        <f>Source!R44</f>
        <v>0</v>
      </c>
      <c r="J100" s="5">
        <f>Source!AI44</f>
        <v>0</v>
      </c>
      <c r="K100" s="6">
        <f>Source!V44</f>
        <v>0</v>
      </c>
    </row>
    <row r="101" spans="3:4" ht="12.75">
      <c r="C101" s="32" t="s">
        <v>578</v>
      </c>
      <c r="D101" s="33" t="str">
        <f>Source!BO44</f>
        <v>503-0012</v>
      </c>
    </row>
    <row r="102" spans="1:11" ht="48">
      <c r="A102" s="27" t="str">
        <f>Source!E45</f>
        <v>8,4</v>
      </c>
      <c r="B102" s="27">
        <f>Source!F45</f>
        <v>0</v>
      </c>
      <c r="C102" s="28" t="str">
        <f>Source!G45</f>
        <v>Кабели контрольные с алюминиевыми жилами с поливинилхлоридной изоляцией и оболочкой, марки АКВВГ, с числом жил - 10 и сечением 2.5 мм2</v>
      </c>
      <c r="D102" s="5">
        <f>Source!I45</f>
        <v>0.005</v>
      </c>
      <c r="E102" s="30">
        <f>Source!AB45</f>
        <v>10708.208</v>
      </c>
      <c r="F102" s="30">
        <f>Source!AD45</f>
        <v>0</v>
      </c>
      <c r="G102" s="6">
        <f>Source!O45</f>
        <v>53.54</v>
      </c>
      <c r="H102" s="6">
        <f>Source!S45</f>
        <v>0</v>
      </c>
      <c r="I102" s="31">
        <f>Source!Q45</f>
        <v>0</v>
      </c>
      <c r="J102" s="30">
        <f>Source!AH45</f>
        <v>0</v>
      </c>
      <c r="K102" s="31">
        <f>Source!U45</f>
        <v>0</v>
      </c>
    </row>
    <row r="103" spans="3:11" ht="12.75">
      <c r="C103" s="29" t="str">
        <f>Source!H45</f>
        <v>1000 м</v>
      </c>
      <c r="D103" s="5"/>
      <c r="E103" s="5">
        <f>Source!AF45</f>
        <v>0</v>
      </c>
      <c r="F103" s="5">
        <f>Source!AE45</f>
        <v>0</v>
      </c>
      <c r="G103" s="6"/>
      <c r="H103" s="6"/>
      <c r="I103" s="6">
        <f>Source!R45</f>
        <v>0</v>
      </c>
      <c r="J103" s="5">
        <f>Source!AI45</f>
        <v>0</v>
      </c>
      <c r="K103" s="6">
        <f>Source!V45</f>
        <v>0</v>
      </c>
    </row>
    <row r="104" spans="3:4" ht="12.75">
      <c r="C104" s="32" t="s">
        <v>578</v>
      </c>
      <c r="D104" s="33" t="str">
        <f>Source!BO45</f>
        <v>503-0358</v>
      </c>
    </row>
    <row r="105" spans="1:11" ht="48">
      <c r="A105" s="27" t="str">
        <f>Source!E46</f>
        <v>8,5</v>
      </c>
      <c r="B105" s="27">
        <f>Source!F46</f>
        <v>0</v>
      </c>
      <c r="C105" s="28" t="str">
        <f>Source!G46</f>
        <v>Провода силовые для электрических установок на напряжение до 450 В с алюминиевой жилой марки АПВ, сечением 2.5 мм2</v>
      </c>
      <c r="D105" s="5">
        <f>Source!I46</f>
        <v>0.018</v>
      </c>
      <c r="E105" s="30">
        <f>Source!AB46</f>
        <v>1243.886</v>
      </c>
      <c r="F105" s="30">
        <f>Source!AD46</f>
        <v>0</v>
      </c>
      <c r="G105" s="6">
        <f>Source!O46</f>
        <v>22.39</v>
      </c>
      <c r="H105" s="6">
        <f>Source!S46</f>
        <v>0</v>
      </c>
      <c r="I105" s="31">
        <f>Source!Q46</f>
        <v>0</v>
      </c>
      <c r="J105" s="30">
        <f>Source!AH46</f>
        <v>0</v>
      </c>
      <c r="K105" s="31">
        <f>Source!U46</f>
        <v>0</v>
      </c>
    </row>
    <row r="106" spans="3:11" ht="12.75">
      <c r="C106" s="29" t="str">
        <f>Source!H46</f>
        <v>1000 м</v>
      </c>
      <c r="D106" s="5"/>
      <c r="E106" s="5">
        <f>Source!AF46</f>
        <v>0</v>
      </c>
      <c r="F106" s="5">
        <f>Source!AE46</f>
        <v>0</v>
      </c>
      <c r="G106" s="6"/>
      <c r="H106" s="6"/>
      <c r="I106" s="6">
        <f>Source!R46</f>
        <v>0</v>
      </c>
      <c r="J106" s="5">
        <f>Source!AI46</f>
        <v>0</v>
      </c>
      <c r="K106" s="6">
        <f>Source!V46</f>
        <v>0</v>
      </c>
    </row>
    <row r="107" spans="3:4" ht="12.75">
      <c r="C107" s="32" t="s">
        <v>578</v>
      </c>
      <c r="D107" s="33" t="str">
        <f>Source!BO46</f>
        <v>507-0227</v>
      </c>
    </row>
    <row r="108" spans="1:11" ht="48">
      <c r="A108" s="27" t="str">
        <f>Source!E47</f>
        <v>9</v>
      </c>
      <c r="B108" s="27" t="str">
        <f>Source!F47</f>
        <v>м08-02-405-1</v>
      </c>
      <c r="C108" s="28" t="str">
        <f>Source!G47</f>
        <v>Провода по стальным конструкциям и панелям: Провод по установленным стальным конструкциям и панелям, сечение, мм2, до 16</v>
      </c>
      <c r="D108" s="5">
        <f>Source!I47</f>
        <v>0.36</v>
      </c>
      <c r="E108" s="30">
        <f>Source!AB47</f>
        <v>593.762</v>
      </c>
      <c r="F108" s="30">
        <f>Source!AD47</f>
        <v>87.57</v>
      </c>
      <c r="G108" s="6">
        <f>Source!O47</f>
        <v>213.76</v>
      </c>
      <c r="H108" s="6">
        <f>Source!S47</f>
        <v>129.47</v>
      </c>
      <c r="I108" s="31">
        <f>Source!Q47</f>
        <v>31.53</v>
      </c>
      <c r="J108" s="30">
        <f>Source!AH47</f>
        <v>38.3</v>
      </c>
      <c r="K108" s="31">
        <f>Source!U47</f>
        <v>13.79</v>
      </c>
    </row>
    <row r="109" spans="3:11" ht="12.75">
      <c r="C109" s="29" t="str">
        <f>Source!H47</f>
        <v>100 м</v>
      </c>
      <c r="D109" s="5"/>
      <c r="E109" s="5">
        <f>Source!AF47</f>
        <v>359.64</v>
      </c>
      <c r="F109" s="5">
        <f>Source!AE47</f>
        <v>5.9</v>
      </c>
      <c r="G109" s="6"/>
      <c r="H109" s="6"/>
      <c r="I109" s="6">
        <f>Source!R47</f>
        <v>2.12</v>
      </c>
      <c r="J109" s="5">
        <f>Source!AI47</f>
        <v>0.5</v>
      </c>
      <c r="K109" s="6">
        <f>Source!V47</f>
        <v>0.18</v>
      </c>
    </row>
    <row r="110" spans="3:4" ht="12.75">
      <c r="C110" s="32" t="s">
        <v>578</v>
      </c>
      <c r="D110" s="33" t="str">
        <f>Source!BO47</f>
        <v>м08-02-405-1</v>
      </c>
    </row>
    <row r="111" spans="3:7" ht="12.75">
      <c r="C111" s="34" t="s">
        <v>579</v>
      </c>
      <c r="D111" s="4">
        <f>Source!AT47</f>
        <v>95</v>
      </c>
      <c r="E111" s="4"/>
      <c r="F111" s="4"/>
      <c r="G111" s="35">
        <f>Source!X47</f>
        <v>125.01</v>
      </c>
    </row>
    <row r="112" spans="3:7" ht="12.75">
      <c r="C112" s="34" t="s">
        <v>580</v>
      </c>
      <c r="D112" s="4">
        <f>Source!AU47</f>
        <v>65</v>
      </c>
      <c r="E112" s="4"/>
      <c r="F112" s="4"/>
      <c r="G112" s="35">
        <f>Source!Y47</f>
        <v>85.53</v>
      </c>
    </row>
    <row r="114" spans="1:11" ht="48">
      <c r="A114" s="27" t="str">
        <f>Source!E48</f>
        <v>10</v>
      </c>
      <c r="B114" s="27" t="str">
        <f>Source!F48</f>
        <v>м12-07-002-2</v>
      </c>
      <c r="C114" s="28" t="str">
        <f>Source!G48</f>
        <v>Трубные проводки из бесшовных труб на условное давление до 10 МПа на соединениях разъемных, диаметр труб наружный, мм: 22</v>
      </c>
      <c r="D114" s="5">
        <f>Source!I48</f>
        <v>0.009</v>
      </c>
      <c r="E114" s="30">
        <f>Source!AB48</f>
        <v>10566.284</v>
      </c>
      <c r="F114" s="30">
        <f>Source!AD48</f>
        <v>5933.4</v>
      </c>
      <c r="G114" s="6">
        <f>Source!O48</f>
        <v>95.1</v>
      </c>
      <c r="H114" s="6">
        <f>Source!S48</f>
        <v>33.56</v>
      </c>
      <c r="I114" s="31">
        <f>Source!Q48</f>
        <v>53.4</v>
      </c>
      <c r="J114" s="30">
        <f>Source!AH48</f>
        <v>388</v>
      </c>
      <c r="K114" s="31">
        <f>Source!U48</f>
        <v>3.49</v>
      </c>
    </row>
    <row r="115" spans="3:11" ht="12.75">
      <c r="C115" s="29" t="str">
        <f>Source!H48</f>
        <v>1000 м</v>
      </c>
      <c r="D115" s="5"/>
      <c r="E115" s="5">
        <f>Source!AF48</f>
        <v>3728.68</v>
      </c>
      <c r="F115" s="5">
        <f>Source!AE48</f>
        <v>1520.44</v>
      </c>
      <c r="G115" s="6"/>
      <c r="H115" s="6"/>
      <c r="I115" s="6">
        <f>Source!R48</f>
        <v>13.68</v>
      </c>
      <c r="J115" s="5">
        <f>Source!AI48</f>
        <v>128.74</v>
      </c>
      <c r="K115" s="6">
        <f>Source!V48</f>
        <v>1.16</v>
      </c>
    </row>
    <row r="116" spans="3:4" ht="12.75">
      <c r="C116" s="32" t="s">
        <v>578</v>
      </c>
      <c r="D116" s="33" t="str">
        <f>Source!BO48</f>
        <v>м12-07-002-2</v>
      </c>
    </row>
    <row r="117" spans="3:7" ht="12.75">
      <c r="C117" s="34" t="s">
        <v>579</v>
      </c>
      <c r="D117" s="4">
        <f>Source!AT48</f>
        <v>80</v>
      </c>
      <c r="E117" s="4"/>
      <c r="F117" s="4"/>
      <c r="G117" s="35">
        <f>Source!X48</f>
        <v>37.79</v>
      </c>
    </row>
    <row r="118" spans="3:7" ht="12.75">
      <c r="C118" s="34" t="s">
        <v>580</v>
      </c>
      <c r="D118" s="4">
        <f>Source!AU48</f>
        <v>60</v>
      </c>
      <c r="E118" s="4"/>
      <c r="F118" s="4"/>
      <c r="G118" s="35">
        <f>Source!Y48</f>
        <v>28.34</v>
      </c>
    </row>
    <row r="120" spans="1:11" ht="60">
      <c r="A120" s="27" t="str">
        <f>Source!E49</f>
        <v>10,1</v>
      </c>
      <c r="B120" s="27">
        <f>Source!F49</f>
        <v>0</v>
      </c>
      <c r="C120" s="28" t="str">
        <f>Source!G49</f>
        <v>Трубы стальные сварные водогазопроводные с резьбой черные обыкновенные (неоцинкованные) диаметр условного прохода 15 мм, толщина стенки 2.8 мм</v>
      </c>
      <c r="D120" s="5">
        <f>Source!I49</f>
        <v>9</v>
      </c>
      <c r="E120" s="30">
        <f>Source!AB49</f>
        <v>8.904</v>
      </c>
      <c r="F120" s="30">
        <f>Source!AD49</f>
        <v>0</v>
      </c>
      <c r="G120" s="6">
        <f>Source!O49</f>
        <v>80.14</v>
      </c>
      <c r="H120" s="6">
        <f>Source!S49</f>
        <v>0</v>
      </c>
      <c r="I120" s="31">
        <f>Source!Q49</f>
        <v>0</v>
      </c>
      <c r="J120" s="30">
        <f>Source!AH49</f>
        <v>0</v>
      </c>
      <c r="K120" s="31">
        <f>Source!U49</f>
        <v>0</v>
      </c>
    </row>
    <row r="121" spans="3:11" ht="12.75">
      <c r="C121" s="29" t="str">
        <f>Source!H49</f>
        <v>м</v>
      </c>
      <c r="D121" s="5"/>
      <c r="E121" s="5">
        <f>Source!AF49</f>
        <v>0</v>
      </c>
      <c r="F121" s="5">
        <f>Source!AE49</f>
        <v>0</v>
      </c>
      <c r="G121" s="6"/>
      <c r="H121" s="6"/>
      <c r="I121" s="6">
        <f>Source!R49</f>
        <v>0</v>
      </c>
      <c r="J121" s="5">
        <f>Source!AI49</f>
        <v>0</v>
      </c>
      <c r="K121" s="6">
        <f>Source!V49</f>
        <v>0</v>
      </c>
    </row>
    <row r="122" spans="3:4" ht="12.75">
      <c r="C122" s="32" t="s">
        <v>578</v>
      </c>
      <c r="D122" s="33" t="str">
        <f>Source!BO49</f>
        <v>103-0013</v>
      </c>
    </row>
    <row r="123" spans="1:11" ht="60">
      <c r="A123" s="27" t="str">
        <f>Source!E50</f>
        <v>11</v>
      </c>
      <c r="B123" s="27" t="str">
        <f>Source!F50</f>
        <v>м12-12-002-2</v>
      </c>
      <c r="C123" s="28" t="str">
        <f>Source!G50</f>
        <v>Арматура фланцевая с ручным приводом или без привода водопроводная на условное давление до 10 МПа, диаметр условного прохода, мм: 15</v>
      </c>
      <c r="D123" s="5">
        <f>Source!I50</f>
        <v>9</v>
      </c>
      <c r="E123" s="30">
        <f>Source!AB50</f>
        <v>43.944</v>
      </c>
      <c r="F123" s="30">
        <f>Source!AD50</f>
        <v>0</v>
      </c>
      <c r="G123" s="6">
        <f>Source!O50</f>
        <v>395.5</v>
      </c>
      <c r="H123" s="6">
        <f>Source!S50</f>
        <v>363.24</v>
      </c>
      <c r="I123" s="31">
        <f>Source!Q50</f>
        <v>0</v>
      </c>
      <c r="J123" s="30">
        <f>Source!AH50</f>
        <v>4.2</v>
      </c>
      <c r="K123" s="31">
        <f>Source!U50</f>
        <v>37.8</v>
      </c>
    </row>
    <row r="124" spans="3:11" ht="12.75">
      <c r="C124" s="29" t="str">
        <f>Source!H50</f>
        <v>шт.</v>
      </c>
      <c r="D124" s="5"/>
      <c r="E124" s="5">
        <f>Source!AF50</f>
        <v>40.36</v>
      </c>
      <c r="F124" s="5">
        <f>Source!AE50</f>
        <v>0</v>
      </c>
      <c r="G124" s="6"/>
      <c r="H124" s="6"/>
      <c r="I124" s="6">
        <f>Source!R50</f>
        <v>0</v>
      </c>
      <c r="J124" s="5">
        <f>Source!AI50</f>
        <v>0</v>
      </c>
      <c r="K124" s="6">
        <f>Source!V50</f>
        <v>0</v>
      </c>
    </row>
    <row r="125" spans="3:4" ht="12.75">
      <c r="C125" s="32" t="s">
        <v>578</v>
      </c>
      <c r="D125" s="33" t="str">
        <f>Source!BO50</f>
        <v>м12-12-002-2</v>
      </c>
    </row>
    <row r="126" spans="3:7" ht="12.75">
      <c r="C126" s="34" t="s">
        <v>579</v>
      </c>
      <c r="D126" s="4">
        <f>Source!AT50</f>
        <v>80</v>
      </c>
      <c r="E126" s="4"/>
      <c r="F126" s="4"/>
      <c r="G126" s="35">
        <f>Source!X50</f>
        <v>290.59</v>
      </c>
    </row>
    <row r="127" spans="3:7" ht="12.75">
      <c r="C127" s="34" t="s">
        <v>580</v>
      </c>
      <c r="D127" s="4">
        <f>Source!AU50</f>
        <v>60</v>
      </c>
      <c r="E127" s="4"/>
      <c r="F127" s="4"/>
      <c r="G127" s="35">
        <f>Source!Y50</f>
        <v>217.94</v>
      </c>
    </row>
    <row r="129" spans="1:11" ht="48">
      <c r="A129" s="27" t="str">
        <f>Source!E51</f>
        <v>11,1</v>
      </c>
      <c r="B129" s="27">
        <f>Source!F51</f>
        <v>0</v>
      </c>
      <c r="C129" s="28" t="str">
        <f>Source!G51</f>
        <v>Краны трехходовые сальниковые фланцевые 11Ч18БК для воды, нефти и масла, давлением 0,6 МПа (6 кгс/см2), диаметром 40 мм</v>
      </c>
      <c r="D129" s="5">
        <f>Source!I51</f>
        <v>9</v>
      </c>
      <c r="E129" s="30">
        <f>Source!AB51</f>
        <v>267.862</v>
      </c>
      <c r="F129" s="30">
        <f>Source!AD51</f>
        <v>0</v>
      </c>
      <c r="G129" s="6">
        <f>Source!O51</f>
        <v>2410.76</v>
      </c>
      <c r="H129" s="6">
        <f>Source!S51</f>
        <v>0</v>
      </c>
      <c r="I129" s="31">
        <f>Source!Q51</f>
        <v>0</v>
      </c>
      <c r="J129" s="30">
        <f>Source!AH51</f>
        <v>0</v>
      </c>
      <c r="K129" s="31">
        <f>Source!U51</f>
        <v>0</v>
      </c>
    </row>
    <row r="130" spans="3:11" ht="12.75">
      <c r="C130" s="29" t="str">
        <f>Source!H51</f>
        <v>шт.</v>
      </c>
      <c r="D130" s="5"/>
      <c r="E130" s="5">
        <f>Source!AF51</f>
        <v>0</v>
      </c>
      <c r="F130" s="5">
        <f>Source!AE51</f>
        <v>0</v>
      </c>
      <c r="G130" s="6"/>
      <c r="H130" s="6"/>
      <c r="I130" s="6">
        <f>Source!R51</f>
        <v>0</v>
      </c>
      <c r="J130" s="5">
        <f>Source!AI51</f>
        <v>0</v>
      </c>
      <c r="K130" s="6">
        <f>Source!V51</f>
        <v>0</v>
      </c>
    </row>
    <row r="131" spans="3:4" ht="12.75">
      <c r="C131" s="32" t="s">
        <v>578</v>
      </c>
      <c r="D131" s="33" t="str">
        <f>Source!BO51</f>
        <v>300-1115</v>
      </c>
    </row>
    <row r="132" spans="1:11" ht="60">
      <c r="A132" s="27" t="str">
        <f>Source!E52</f>
        <v>12</v>
      </c>
      <c r="B132" s="27" t="str">
        <f>Source!F52</f>
        <v>м08-02-412-1</v>
      </c>
      <c r="C132" s="28" t="str">
        <f>Source!G52</f>
        <v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2,5</v>
      </c>
      <c r="D132" s="5">
        <f>Source!I52</f>
        <v>0.14</v>
      </c>
      <c r="E132" s="30">
        <f>Source!AB52</f>
        <v>198.898</v>
      </c>
      <c r="F132" s="30">
        <f>Source!AD52</f>
        <v>2.06</v>
      </c>
      <c r="G132" s="6">
        <f>Source!O52</f>
        <v>27.85</v>
      </c>
      <c r="H132" s="6">
        <f>Source!S52</f>
        <v>7.38</v>
      </c>
      <c r="I132" s="31">
        <f>Source!Q52</f>
        <v>0.29</v>
      </c>
      <c r="J132" s="30">
        <f>Source!AH52</f>
        <v>5.61</v>
      </c>
      <c r="K132" s="31">
        <f>Source!U52</f>
        <v>0.79</v>
      </c>
    </row>
    <row r="133" spans="3:11" ht="12.75">
      <c r="C133" s="29" t="str">
        <f>Source!H52</f>
        <v>100 м</v>
      </c>
      <c r="D133" s="5"/>
      <c r="E133" s="5">
        <f>Source!AF52</f>
        <v>52.68</v>
      </c>
      <c r="F133" s="5">
        <f>Source!AE52</f>
        <v>0.24</v>
      </c>
      <c r="G133" s="6"/>
      <c r="H133" s="6"/>
      <c r="I133" s="6">
        <f>Source!R52</f>
        <v>0.03</v>
      </c>
      <c r="J133" s="5">
        <f>Source!AI52</f>
        <v>0.02</v>
      </c>
      <c r="K133" s="6">
        <f>Source!V52</f>
        <v>0</v>
      </c>
    </row>
    <row r="134" spans="3:4" ht="12.75">
      <c r="C134" s="32" t="s">
        <v>578</v>
      </c>
      <c r="D134" s="33" t="str">
        <f>Source!BO52</f>
        <v>м08-02-412-1</v>
      </c>
    </row>
    <row r="135" spans="3:7" ht="12.75">
      <c r="C135" s="34" t="s">
        <v>579</v>
      </c>
      <c r="D135" s="4">
        <f>Source!AT52</f>
        <v>95</v>
      </c>
      <c r="E135" s="4"/>
      <c r="F135" s="4"/>
      <c r="G135" s="35">
        <f>Source!X52</f>
        <v>7.04</v>
      </c>
    </row>
    <row r="136" spans="3:7" ht="12.75">
      <c r="C136" s="34" t="s">
        <v>580</v>
      </c>
      <c r="D136" s="4">
        <f>Source!AU52</f>
        <v>65</v>
      </c>
      <c r="E136" s="4"/>
      <c r="F136" s="4"/>
      <c r="G136" s="35">
        <f>Source!Y52</f>
        <v>4.82</v>
      </c>
    </row>
    <row r="138" spans="1:11" ht="24">
      <c r="A138" s="27" t="str">
        <f>Source!E53</f>
        <v>12,1</v>
      </c>
      <c r="B138" s="27">
        <f>Source!F53</f>
        <v>0</v>
      </c>
      <c r="C138" s="28" t="str">
        <f>Source!G53</f>
        <v>Разветвительная коробка</v>
      </c>
      <c r="D138" s="5">
        <f>Source!I53</f>
        <v>1.9999999600000002</v>
      </c>
      <c r="E138" s="30">
        <f>Source!AB53</f>
        <v>800.212</v>
      </c>
      <c r="F138" s="30">
        <f>Source!AD53</f>
        <v>0</v>
      </c>
      <c r="G138" s="6">
        <f>Source!O53</f>
        <v>1600.42</v>
      </c>
      <c r="H138" s="6">
        <f>Source!S53</f>
        <v>0</v>
      </c>
      <c r="I138" s="31">
        <f>Source!Q53</f>
        <v>0</v>
      </c>
      <c r="J138" s="30">
        <f>Source!AH53</f>
        <v>0</v>
      </c>
      <c r="K138" s="31">
        <f>Source!U53</f>
        <v>0</v>
      </c>
    </row>
    <row r="139" spans="3:11" ht="12.75">
      <c r="C139" s="29" t="str">
        <f>Source!H53</f>
        <v>шт.</v>
      </c>
      <c r="D139" s="5"/>
      <c r="E139" s="5">
        <f>Source!AF53</f>
        <v>0</v>
      </c>
      <c r="F139" s="5">
        <f>Source!AE53</f>
        <v>0</v>
      </c>
      <c r="G139" s="6"/>
      <c r="H139" s="6"/>
      <c r="I139" s="6">
        <f>Source!R53</f>
        <v>0</v>
      </c>
      <c r="J139" s="5">
        <f>Source!AI53</f>
        <v>0</v>
      </c>
      <c r="K139" s="6">
        <f>Source!V53</f>
        <v>0</v>
      </c>
    </row>
    <row r="140" spans="3:4" ht="12.75">
      <c r="C140" s="32" t="s">
        <v>578</v>
      </c>
      <c r="D140" s="33" t="str">
        <f>Source!BO53</f>
        <v>500-9096</v>
      </c>
    </row>
    <row r="141" spans="1:11" ht="24">
      <c r="A141" s="27" t="str">
        <f>Source!E54</f>
        <v>13</v>
      </c>
      <c r="B141" s="27" t="str">
        <f>Source!F54</f>
        <v>м08-03-604-1</v>
      </c>
      <c r="C141" s="28" t="str">
        <f>Source!G54</f>
        <v>Звонки электрические с кнопкой: Звонок с кнопкой</v>
      </c>
      <c r="D141" s="5">
        <f>Source!I54</f>
        <v>0.02</v>
      </c>
      <c r="E141" s="30">
        <f>Source!AB54</f>
        <v>2417.996</v>
      </c>
      <c r="F141" s="30">
        <f>Source!AD54</f>
        <v>77.19</v>
      </c>
      <c r="G141" s="6">
        <f>Source!O54</f>
        <v>48.35</v>
      </c>
      <c r="H141" s="6">
        <f>Source!S54</f>
        <v>15.16</v>
      </c>
      <c r="I141" s="31">
        <f>Source!Q54</f>
        <v>1.54</v>
      </c>
      <c r="J141" s="30">
        <f>Source!AH54</f>
        <v>76.5</v>
      </c>
      <c r="K141" s="31">
        <f>Source!U54</f>
        <v>1.53</v>
      </c>
    </row>
    <row r="142" spans="3:11" ht="12.75">
      <c r="C142" s="29" t="str">
        <f>Source!H54</f>
        <v>100 компл.</v>
      </c>
      <c r="D142" s="5"/>
      <c r="E142" s="5">
        <f>Source!AF54</f>
        <v>758.12</v>
      </c>
      <c r="F142" s="5">
        <f>Source!AE54</f>
        <v>2.36</v>
      </c>
      <c r="G142" s="6"/>
      <c r="H142" s="6"/>
      <c r="I142" s="6">
        <f>Source!R54</f>
        <v>0.05</v>
      </c>
      <c r="J142" s="5">
        <f>Source!AI54</f>
        <v>0.2</v>
      </c>
      <c r="K142" s="6">
        <f>Source!V54</f>
        <v>0</v>
      </c>
    </row>
    <row r="143" spans="3:4" ht="12.75">
      <c r="C143" s="32" t="s">
        <v>578</v>
      </c>
      <c r="D143" s="33" t="str">
        <f>Source!BO54</f>
        <v>м08-03-604-1</v>
      </c>
    </row>
    <row r="144" spans="3:7" ht="12.75">
      <c r="C144" s="34" t="s">
        <v>579</v>
      </c>
      <c r="D144" s="4">
        <f>Source!AT54</f>
        <v>95</v>
      </c>
      <c r="E144" s="4"/>
      <c r="F144" s="4"/>
      <c r="G144" s="35">
        <f>Source!X54</f>
        <v>14.45</v>
      </c>
    </row>
    <row r="145" spans="3:7" ht="12.75">
      <c r="C145" s="34" t="s">
        <v>580</v>
      </c>
      <c r="D145" s="4">
        <f>Source!AU54</f>
        <v>65</v>
      </c>
      <c r="E145" s="4"/>
      <c r="F145" s="4"/>
      <c r="G145" s="35">
        <f>Source!Y54</f>
        <v>9.89</v>
      </c>
    </row>
    <row r="147" spans="1:11" ht="24">
      <c r="A147" s="27" t="str">
        <f>Source!E55</f>
        <v>14</v>
      </c>
      <c r="B147" s="27" t="str">
        <f>Source!F55</f>
        <v>м08-02-411-1</v>
      </c>
      <c r="C147" s="28" t="str">
        <f>Source!G55</f>
        <v>Рукава металлические и вводы гибкие: Рукав, наружный диаметр, мм, до 48</v>
      </c>
      <c r="D147" s="5">
        <f>Source!I55</f>
        <v>0.05</v>
      </c>
      <c r="E147" s="30">
        <f>Source!AB55</f>
        <v>1371.2399999999998</v>
      </c>
      <c r="F147" s="30">
        <f>Source!AD55</f>
        <v>100.34</v>
      </c>
      <c r="G147" s="6">
        <f>Source!O55</f>
        <v>68.56</v>
      </c>
      <c r="H147" s="6">
        <f>Source!S55</f>
        <v>16.29</v>
      </c>
      <c r="I147" s="31">
        <f>Source!Q55</f>
        <v>5.02</v>
      </c>
      <c r="J147" s="30">
        <f>Source!AH55</f>
        <v>34.7</v>
      </c>
      <c r="K147" s="31">
        <f>Source!U55</f>
        <v>1.74</v>
      </c>
    </row>
    <row r="148" spans="3:11" ht="12.75">
      <c r="C148" s="29" t="str">
        <f>Source!H55</f>
        <v>100 м</v>
      </c>
      <c r="D148" s="5"/>
      <c r="E148" s="5">
        <f>Source!AF55</f>
        <v>325.83</v>
      </c>
      <c r="F148" s="5">
        <f>Source!AE55</f>
        <v>5.2</v>
      </c>
      <c r="G148" s="6"/>
      <c r="H148" s="6"/>
      <c r="I148" s="6">
        <f>Source!R55</f>
        <v>0.26</v>
      </c>
      <c r="J148" s="5">
        <f>Source!AI55</f>
        <v>0.44</v>
      </c>
      <c r="K148" s="6">
        <f>Source!V55</f>
        <v>0.02</v>
      </c>
    </row>
    <row r="149" spans="3:4" ht="12.75">
      <c r="C149" s="32" t="s">
        <v>578</v>
      </c>
      <c r="D149" s="33" t="str">
        <f>Source!BO55</f>
        <v>м08-02-411-1</v>
      </c>
    </row>
    <row r="150" spans="3:7" ht="12.75">
      <c r="C150" s="34" t="s">
        <v>579</v>
      </c>
      <c r="D150" s="4">
        <f>Source!AT55</f>
        <v>95</v>
      </c>
      <c r="E150" s="4"/>
      <c r="F150" s="4"/>
      <c r="G150" s="35">
        <f>Source!X55</f>
        <v>15.72</v>
      </c>
    </row>
    <row r="151" spans="3:7" ht="12.75">
      <c r="C151" s="34" t="s">
        <v>580</v>
      </c>
      <c r="D151" s="4">
        <f>Source!AU55</f>
        <v>65</v>
      </c>
      <c r="E151" s="4"/>
      <c r="F151" s="4"/>
      <c r="G151" s="35">
        <f>Source!Y55</f>
        <v>10.76</v>
      </c>
    </row>
    <row r="153" spans="1:11" ht="24">
      <c r="A153" s="27" t="str">
        <f>Source!E56</f>
        <v>14,1</v>
      </c>
      <c r="B153" s="27">
        <f>Source!F56</f>
        <v>0</v>
      </c>
      <c r="C153" s="28" t="str">
        <f>Source!G56</f>
        <v>Металлорукав</v>
      </c>
      <c r="D153" s="5">
        <f>Source!I56</f>
        <v>5</v>
      </c>
      <c r="E153" s="30">
        <f>Source!AB56</f>
        <v>11.367999999999999</v>
      </c>
      <c r="F153" s="30">
        <f>Source!AD56</f>
        <v>0</v>
      </c>
      <c r="G153" s="6">
        <f>Source!O56</f>
        <v>56.84</v>
      </c>
      <c r="H153" s="6">
        <f>Source!S56</f>
        <v>0</v>
      </c>
      <c r="I153" s="31">
        <f>Source!Q56</f>
        <v>0</v>
      </c>
      <c r="J153" s="30">
        <f>Source!AH56</f>
        <v>0</v>
      </c>
      <c r="K153" s="31">
        <f>Source!U56</f>
        <v>0</v>
      </c>
    </row>
    <row r="154" spans="3:11" ht="12.75">
      <c r="C154" s="29" t="str">
        <f>Source!H56</f>
        <v>м</v>
      </c>
      <c r="D154" s="5"/>
      <c r="E154" s="5">
        <f>Source!AF56</f>
        <v>0</v>
      </c>
      <c r="F154" s="5">
        <f>Source!AE56</f>
        <v>0</v>
      </c>
      <c r="G154" s="6"/>
      <c r="H154" s="6"/>
      <c r="I154" s="6">
        <f>Source!R56</f>
        <v>0</v>
      </c>
      <c r="J154" s="5">
        <f>Source!AI56</f>
        <v>0</v>
      </c>
      <c r="K154" s="6">
        <f>Source!V56</f>
        <v>0</v>
      </c>
    </row>
    <row r="155" spans="3:4" ht="12.75">
      <c r="C155" s="32" t="s">
        <v>578</v>
      </c>
      <c r="D155" s="33" t="str">
        <f>Source!BO56</f>
        <v>201-9233</v>
      </c>
    </row>
    <row r="156" spans="1:11" ht="72">
      <c r="A156" s="27" t="str">
        <f>Source!E57</f>
        <v>15</v>
      </c>
      <c r="B156" s="27" t="str">
        <f>Source!F57</f>
        <v>м08-03-574-1</v>
      </c>
      <c r="C156" s="28" t="str">
        <f>Source!G57</f>
        <v>Разводка по устройствам и подключение жил кабелей или проводов внешней сети к блокам зажимов и к зажимам на устройствах: Кабели или провода, сечение, мм2, до 10</v>
      </c>
      <c r="D156" s="5">
        <f>Source!I57</f>
        <v>0.4</v>
      </c>
      <c r="E156" s="30">
        <f>Source!AB57</f>
        <v>290.028</v>
      </c>
      <c r="F156" s="30">
        <f>Source!AD57</f>
        <v>2.06</v>
      </c>
      <c r="G156" s="6">
        <f>Source!O57</f>
        <v>116.01</v>
      </c>
      <c r="H156" s="6">
        <f>Source!S57</f>
        <v>66.6</v>
      </c>
      <c r="I156" s="31">
        <f>Source!Q57</f>
        <v>0.82</v>
      </c>
      <c r="J156" s="30">
        <f>Source!AH57</f>
        <v>16.8</v>
      </c>
      <c r="K156" s="31">
        <f>Source!U57</f>
        <v>6.72</v>
      </c>
    </row>
    <row r="157" spans="3:11" ht="12.75">
      <c r="C157" s="29" t="str">
        <f>Source!H57</f>
        <v>100 шт.</v>
      </c>
      <c r="D157" s="5"/>
      <c r="E157" s="5">
        <f>Source!AF57</f>
        <v>166.49</v>
      </c>
      <c r="F157" s="5">
        <f>Source!AE57</f>
        <v>0.24</v>
      </c>
      <c r="G157" s="6"/>
      <c r="H157" s="6"/>
      <c r="I157" s="6">
        <f>Source!R57</f>
        <v>0.1</v>
      </c>
      <c r="J157" s="5">
        <f>Source!AI57</f>
        <v>0.02</v>
      </c>
      <c r="K157" s="6">
        <f>Source!V57</f>
        <v>0.01</v>
      </c>
    </row>
    <row r="158" spans="3:4" ht="12.75">
      <c r="C158" s="32" t="s">
        <v>578</v>
      </c>
      <c r="D158" s="33" t="str">
        <f>Source!BO57</f>
        <v>м08-03-574-1</v>
      </c>
    </row>
    <row r="159" spans="3:7" ht="12.75">
      <c r="C159" s="34" t="s">
        <v>579</v>
      </c>
      <c r="D159" s="4">
        <f>Source!AT57</f>
        <v>95</v>
      </c>
      <c r="E159" s="4"/>
      <c r="F159" s="4"/>
      <c r="G159" s="35">
        <f>Source!X57</f>
        <v>63.37</v>
      </c>
    </row>
    <row r="160" spans="3:7" ht="12.75">
      <c r="C160" s="34" t="s">
        <v>580</v>
      </c>
      <c r="D160" s="4">
        <f>Source!AU57</f>
        <v>65</v>
      </c>
      <c r="E160" s="4"/>
      <c r="F160" s="4"/>
      <c r="G160" s="35">
        <f>Source!Y57</f>
        <v>43.36</v>
      </c>
    </row>
    <row r="162" spans="1:11" ht="24">
      <c r="A162" s="27" t="str">
        <f>Source!E58</f>
        <v>15,1</v>
      </c>
      <c r="B162" s="27">
        <f>Source!F58</f>
        <v>0</v>
      </c>
      <c r="C162" s="28" t="str">
        <f>Source!G58</f>
        <v>Hаконечники кабельные</v>
      </c>
      <c r="D162" s="5">
        <f>Source!I58</f>
        <v>40.800000000000004</v>
      </c>
      <c r="E162" s="30">
        <f>Source!AB58</f>
        <v>79.96799999999999</v>
      </c>
      <c r="F162" s="30">
        <f>Source!AD58</f>
        <v>0</v>
      </c>
      <c r="G162" s="6">
        <f>Source!O58</f>
        <v>3262.69</v>
      </c>
      <c r="H162" s="6">
        <f>Source!S58</f>
        <v>0</v>
      </c>
      <c r="I162" s="31">
        <f>Source!Q58</f>
        <v>0</v>
      </c>
      <c r="J162" s="30">
        <f>Source!AH58</f>
        <v>0</v>
      </c>
      <c r="K162" s="31">
        <f>Source!U58</f>
        <v>0</v>
      </c>
    </row>
    <row r="163" spans="3:11" ht="12.75">
      <c r="C163" s="29" t="str">
        <f>Source!H58</f>
        <v>шт.</v>
      </c>
      <c r="D163" s="5"/>
      <c r="E163" s="5">
        <f>Source!AF58</f>
        <v>0</v>
      </c>
      <c r="F163" s="5">
        <f>Source!AE58</f>
        <v>0</v>
      </c>
      <c r="G163" s="6"/>
      <c r="H163" s="6"/>
      <c r="I163" s="6">
        <f>Source!R58</f>
        <v>0</v>
      </c>
      <c r="J163" s="5">
        <f>Source!AI58</f>
        <v>0</v>
      </c>
      <c r="K163" s="6">
        <f>Source!V58</f>
        <v>0</v>
      </c>
    </row>
    <row r="164" spans="3:4" ht="12.75">
      <c r="C164" s="32" t="s">
        <v>578</v>
      </c>
      <c r="D164" s="33" t="str">
        <f>Source!BO58</f>
        <v>500-9062</v>
      </c>
    </row>
    <row r="167" spans="3:11" ht="12.75">
      <c r="C167" s="36" t="s">
        <v>581</v>
      </c>
      <c r="D167" s="66" t="str">
        <f>IF(Source!C12="1",Source!F60,Source!G60)</f>
        <v>Монтажные работы</v>
      </c>
      <c r="E167" s="66"/>
      <c r="F167" s="66"/>
      <c r="G167" s="66"/>
      <c r="H167" s="66"/>
      <c r="I167" s="66"/>
      <c r="J167" s="66"/>
      <c r="K167" s="66"/>
    </row>
    <row r="169" spans="3:8" ht="12.75">
      <c r="C169" s="64" t="str">
        <f>Source!H62</f>
        <v>Прямые затраты</v>
      </c>
      <c r="D169" s="64"/>
      <c r="E169" s="64"/>
      <c r="F169" s="64"/>
      <c r="G169" s="7">
        <f>Source!F62</f>
        <v>10531.81</v>
      </c>
      <c r="H169" s="5"/>
    </row>
    <row r="171" spans="3:8" ht="12.75">
      <c r="C171" s="64" t="str">
        <f>Source!H63</f>
        <v>Стоимость материалов</v>
      </c>
      <c r="D171" s="64"/>
      <c r="E171" s="64"/>
      <c r="F171" s="64"/>
      <c r="G171" s="7">
        <f>Source!F63</f>
        <v>8948.74</v>
      </c>
      <c r="H171" s="5"/>
    </row>
    <row r="173" spans="3:8" ht="12.75">
      <c r="C173" s="64" t="str">
        <f>Source!H64</f>
        <v>Эксплуатация машин</v>
      </c>
      <c r="D173" s="64"/>
      <c r="E173" s="64"/>
      <c r="F173" s="64"/>
      <c r="G173" s="7">
        <f>Source!F64</f>
        <v>342.21</v>
      </c>
      <c r="H173" s="5"/>
    </row>
    <row r="175" spans="3:8" ht="12.75">
      <c r="C175" s="64" t="str">
        <f>Source!H65</f>
        <v>ЗП машинистов</v>
      </c>
      <c r="D175" s="64"/>
      <c r="E175" s="64"/>
      <c r="F175" s="64"/>
      <c r="G175" s="7">
        <f>Source!F65</f>
        <v>50.64</v>
      </c>
      <c r="H175" s="5"/>
    </row>
    <row r="177" spans="3:8" ht="12.75">
      <c r="C177" s="64" t="str">
        <f>Source!H66</f>
        <v>Основная ЗП рабочих</v>
      </c>
      <c r="D177" s="64"/>
      <c r="E177" s="64"/>
      <c r="F177" s="64"/>
      <c r="G177" s="7">
        <f>Source!F66</f>
        <v>1240.86</v>
      </c>
      <c r="H177" s="5"/>
    </row>
    <row r="179" spans="3:8" ht="12.75">
      <c r="C179" s="64" t="str">
        <f>Source!H68</f>
        <v>Трудозатраты строителей</v>
      </c>
      <c r="D179" s="64"/>
      <c r="E179" s="64"/>
      <c r="F179" s="64"/>
      <c r="G179" s="7">
        <f>Source!F68</f>
        <v>127.23</v>
      </c>
      <c r="H179" s="5"/>
    </row>
    <row r="181" spans="3:8" ht="12.75">
      <c r="C181" s="64" t="str">
        <f>Source!H69</f>
        <v>Трудозатраты машинистов</v>
      </c>
      <c r="D181" s="64"/>
      <c r="E181" s="64"/>
      <c r="F181" s="64"/>
      <c r="G181" s="7">
        <f>Source!F69</f>
        <v>3.55</v>
      </c>
      <c r="H181" s="5"/>
    </row>
    <row r="183" spans="3:8" ht="12.75">
      <c r="C183" s="64" t="str">
        <f>Source!H71</f>
        <v>Накладные расходы</v>
      </c>
      <c r="D183" s="64"/>
      <c r="E183" s="64"/>
      <c r="F183" s="64"/>
      <c r="G183" s="7">
        <f>Source!F71</f>
        <v>1073.29</v>
      </c>
      <c r="H183" s="5"/>
    </row>
    <row r="185" spans="3:8" ht="12.75">
      <c r="C185" s="64" t="str">
        <f>Source!H72</f>
        <v>Сметная прибыль</v>
      </c>
      <c r="D185" s="64"/>
      <c r="E185" s="64"/>
      <c r="F185" s="64"/>
      <c r="G185" s="7">
        <f>Source!F72</f>
        <v>788.25</v>
      </c>
      <c r="H185" s="5"/>
    </row>
    <row r="188" spans="3:11" ht="15.75">
      <c r="C188" s="26" t="s">
        <v>577</v>
      </c>
      <c r="D188" s="65" t="str">
        <f>IF(Source!C12="1",Source!F74,Source!G74)</f>
        <v>Щит автоматики - оборудование</v>
      </c>
      <c r="E188" s="65"/>
      <c r="F188" s="65"/>
      <c r="G188" s="65"/>
      <c r="H188" s="65"/>
      <c r="I188" s="65"/>
      <c r="J188" s="65"/>
      <c r="K188" s="65"/>
    </row>
    <row r="190" spans="1:11" ht="72">
      <c r="A190" s="27" t="str">
        <f>Source!E78</f>
        <v>2</v>
      </c>
      <c r="B190" s="27" t="str">
        <f>Source!F78</f>
        <v>м08-03-526-2</v>
      </c>
      <c r="C190" s="28" t="str">
        <f>Source!G78</f>
        <v>Выключатели установочные автоматические (автоматы) или неавтоматические: Автомат одно-, двух-, трехполюсный, устанавливаемый на конструкции на стене или колонне, на ток, А, до 100</v>
      </c>
      <c r="D190" s="5">
        <f>Source!I78</f>
        <v>1</v>
      </c>
      <c r="E190" s="30">
        <f>Source!AB78</f>
        <v>111.182</v>
      </c>
      <c r="F190" s="30">
        <f>Source!AD78</f>
        <v>1.79</v>
      </c>
      <c r="G190" s="6">
        <f>Source!O78</f>
        <v>111.18</v>
      </c>
      <c r="H190" s="6">
        <f>Source!S78</f>
        <v>22.06</v>
      </c>
      <c r="I190" s="31">
        <f>Source!Q78</f>
        <v>1.79</v>
      </c>
      <c r="J190" s="30">
        <f>Source!AH78</f>
        <v>2.32</v>
      </c>
      <c r="K190" s="31">
        <f>Source!U78</f>
        <v>2.32</v>
      </c>
    </row>
    <row r="191" spans="3:11" ht="12.75">
      <c r="C191" s="29" t="str">
        <f>Source!H78</f>
        <v>шт.</v>
      </c>
      <c r="D191" s="5"/>
      <c r="E191" s="5">
        <f>Source!AF78</f>
        <v>22.06</v>
      </c>
      <c r="F191" s="5">
        <f>Source!AE78</f>
        <v>0.12</v>
      </c>
      <c r="G191" s="6"/>
      <c r="H191" s="6"/>
      <c r="I191" s="6">
        <f>Source!R78</f>
        <v>0.12</v>
      </c>
      <c r="J191" s="5">
        <f>Source!AI78</f>
        <v>0.01</v>
      </c>
      <c r="K191" s="6">
        <f>Source!V78</f>
        <v>0.01</v>
      </c>
    </row>
    <row r="192" spans="3:4" ht="12.75">
      <c r="C192" s="32" t="s">
        <v>578</v>
      </c>
      <c r="D192" s="33" t="str">
        <f>Source!BO78</f>
        <v>м08-03-526-2</v>
      </c>
    </row>
    <row r="193" spans="3:7" ht="12.75">
      <c r="C193" s="34" t="s">
        <v>579</v>
      </c>
      <c r="D193" s="4">
        <f>Source!AT78</f>
        <v>95</v>
      </c>
      <c r="E193" s="4"/>
      <c r="F193" s="4"/>
      <c r="G193" s="35">
        <f>Source!X78</f>
        <v>21.07</v>
      </c>
    </row>
    <row r="194" spans="3:7" ht="12.75">
      <c r="C194" s="34" t="s">
        <v>580</v>
      </c>
      <c r="D194" s="4">
        <f>Source!AU78</f>
        <v>65</v>
      </c>
      <c r="E194" s="4"/>
      <c r="F194" s="4"/>
      <c r="G194" s="35">
        <f>Source!Y78</f>
        <v>14.42</v>
      </c>
    </row>
    <row r="196" spans="1:11" ht="12.75">
      <c r="A196" s="27" t="str">
        <f>Source!E79</f>
        <v>2,1</v>
      </c>
      <c r="B196" s="27">
        <f>Source!F79</f>
      </c>
      <c r="C196" s="28" t="str">
        <f>Source!G79</f>
        <v>Выключатель автоматический</v>
      </c>
      <c r="D196" s="5">
        <f>Source!I79</f>
        <v>1</v>
      </c>
      <c r="E196" s="30">
        <f>Source!AB79</f>
        <v>58.044</v>
      </c>
      <c r="F196" s="30">
        <f>Source!AD79</f>
        <v>0</v>
      </c>
      <c r="G196" s="6">
        <f>Source!O79</f>
        <v>58.04</v>
      </c>
      <c r="H196" s="6">
        <f>Source!S79</f>
        <v>0</v>
      </c>
      <c r="I196" s="31">
        <f>Source!Q79</f>
        <v>0</v>
      </c>
      <c r="J196" s="30">
        <f>Source!AH79</f>
        <v>0</v>
      </c>
      <c r="K196" s="31">
        <f>Source!U79</f>
        <v>0</v>
      </c>
    </row>
    <row r="197" spans="3:11" ht="12.75">
      <c r="C197" s="29" t="str">
        <f>Source!H79</f>
        <v>ШТ</v>
      </c>
      <c r="D197" s="5"/>
      <c r="E197" s="5">
        <f>Source!AF79</f>
        <v>0</v>
      </c>
      <c r="F197" s="5">
        <f>Source!AE79</f>
        <v>0</v>
      </c>
      <c r="G197" s="6"/>
      <c r="H197" s="6"/>
      <c r="I197" s="6">
        <f>Source!R79</f>
        <v>0</v>
      </c>
      <c r="J197" s="5">
        <f>Source!AI79</f>
        <v>0</v>
      </c>
      <c r="K197" s="6">
        <f>Source!V79</f>
        <v>0</v>
      </c>
    </row>
    <row r="198" spans="1:11" ht="60">
      <c r="A198" s="27" t="str">
        <f>Source!E80</f>
        <v>3</v>
      </c>
      <c r="B198" s="27" t="str">
        <f>Source!F80</f>
        <v>м08-01-081-1</v>
      </c>
      <c r="C198" s="28" t="str">
        <f>Source!G80</f>
        <v>Аппараты управления и сигнализации: Аппарат (кнопка, ключ управления, замок электромагнитной блокировки, звуковой сигнал, сигнальная лампа), количество подключаемых концов, до 2</v>
      </c>
      <c r="D198" s="5">
        <f>Source!I80</f>
        <v>12</v>
      </c>
      <c r="E198" s="30">
        <f>Source!AB80</f>
        <v>20.788</v>
      </c>
      <c r="F198" s="30">
        <f>Source!AD80</f>
        <v>8.22</v>
      </c>
      <c r="G198" s="6">
        <f>Source!O80</f>
        <v>249.46</v>
      </c>
      <c r="H198" s="6">
        <f>Source!S80</f>
        <v>130.32</v>
      </c>
      <c r="I198" s="31">
        <f>Source!Q80</f>
        <v>98.64</v>
      </c>
      <c r="J198" s="30">
        <f>Source!AH80</f>
        <v>1.13</v>
      </c>
      <c r="K198" s="31">
        <f>Source!U80</f>
        <v>13.56</v>
      </c>
    </row>
    <row r="199" spans="3:11" ht="12.75">
      <c r="C199" s="29" t="str">
        <f>Source!H80</f>
        <v>шт.</v>
      </c>
      <c r="D199" s="5"/>
      <c r="E199" s="5">
        <f>Source!AF80</f>
        <v>10.86</v>
      </c>
      <c r="F199" s="5">
        <f>Source!AE80</f>
        <v>0.94</v>
      </c>
      <c r="G199" s="6"/>
      <c r="H199" s="6"/>
      <c r="I199" s="6">
        <f>Source!R80</f>
        <v>11.28</v>
      </c>
      <c r="J199" s="5">
        <f>Source!AI80</f>
        <v>0.08</v>
      </c>
      <c r="K199" s="6">
        <f>Source!V80</f>
        <v>0.96</v>
      </c>
    </row>
    <row r="200" spans="3:4" ht="12.75">
      <c r="C200" s="32" t="s">
        <v>578</v>
      </c>
      <c r="D200" s="33" t="str">
        <f>Source!BO80</f>
        <v>м08-01-081-1</v>
      </c>
    </row>
    <row r="201" spans="3:7" ht="12.75">
      <c r="C201" s="34" t="s">
        <v>579</v>
      </c>
      <c r="D201" s="4">
        <f>Source!AT80</f>
        <v>95</v>
      </c>
      <c r="E201" s="4"/>
      <c r="F201" s="4"/>
      <c r="G201" s="35">
        <f>Source!X80</f>
        <v>134.52</v>
      </c>
    </row>
    <row r="202" spans="3:7" ht="12.75">
      <c r="C202" s="34" t="s">
        <v>580</v>
      </c>
      <c r="D202" s="4">
        <f>Source!AU80</f>
        <v>65</v>
      </c>
      <c r="E202" s="4"/>
      <c r="F202" s="4"/>
      <c r="G202" s="35">
        <f>Source!Y80</f>
        <v>92.04</v>
      </c>
    </row>
    <row r="204" spans="1:11" ht="12.75">
      <c r="A204" s="27" t="str">
        <f>Source!E81</f>
        <v>3,1</v>
      </c>
      <c r="B204" s="27">
        <f>Source!F81</f>
      </c>
      <c r="C204" s="28" t="str">
        <f>Source!G81</f>
        <v>Кнопки цепей управления</v>
      </c>
      <c r="D204" s="5">
        <f>Source!I81</f>
        <v>3.999996</v>
      </c>
      <c r="E204" s="30">
        <f>Source!AB81</f>
        <v>36.372</v>
      </c>
      <c r="F204" s="30">
        <f>Source!AD81</f>
        <v>0</v>
      </c>
      <c r="G204" s="6">
        <f>Source!O81</f>
        <v>145.49</v>
      </c>
      <c r="H204" s="6">
        <f>Source!S81</f>
        <v>0</v>
      </c>
      <c r="I204" s="31">
        <f>Source!Q81</f>
        <v>0</v>
      </c>
      <c r="J204" s="30">
        <f>Source!AH81</f>
        <v>0</v>
      </c>
      <c r="K204" s="31">
        <f>Source!U81</f>
        <v>0</v>
      </c>
    </row>
    <row r="205" spans="3:11" ht="12.75">
      <c r="C205" s="29" t="str">
        <f>Source!H81</f>
        <v>ШТ</v>
      </c>
      <c r="D205" s="5"/>
      <c r="E205" s="5">
        <f>Source!AF81</f>
        <v>0</v>
      </c>
      <c r="F205" s="5">
        <f>Source!AE81</f>
        <v>0</v>
      </c>
      <c r="G205" s="6"/>
      <c r="H205" s="6"/>
      <c r="I205" s="6">
        <f>Source!R81</f>
        <v>0</v>
      </c>
      <c r="J205" s="5">
        <f>Source!AI81</f>
        <v>0</v>
      </c>
      <c r="K205" s="6">
        <f>Source!V81</f>
        <v>0</v>
      </c>
    </row>
    <row r="206" spans="1:11" ht="24">
      <c r="A206" s="27" t="str">
        <f>Source!E82</f>
        <v>3,2</v>
      </c>
      <c r="B206" s="27">
        <f>Source!F82</f>
      </c>
      <c r="C206" s="28" t="str">
        <f>Source!G82</f>
        <v>Реле промежуточные электромагнитные серии ПЭ</v>
      </c>
      <c r="D206" s="5">
        <f>Source!I82</f>
        <v>6.999995999999999</v>
      </c>
      <c r="E206" s="30">
        <f>Source!AB82</f>
        <v>251.804</v>
      </c>
      <c r="F206" s="30">
        <f>Source!AD82</f>
        <v>0</v>
      </c>
      <c r="G206" s="6">
        <f>Source!O82</f>
        <v>1762.63</v>
      </c>
      <c r="H206" s="6">
        <f>Source!S82</f>
        <v>0</v>
      </c>
      <c r="I206" s="31">
        <f>Source!Q82</f>
        <v>0</v>
      </c>
      <c r="J206" s="30">
        <f>Source!AH82</f>
        <v>0</v>
      </c>
      <c r="K206" s="31">
        <f>Source!U82</f>
        <v>0</v>
      </c>
    </row>
    <row r="207" spans="3:11" ht="12.75">
      <c r="C207" s="29" t="str">
        <f>Source!H82</f>
        <v>ШТ</v>
      </c>
      <c r="D207" s="5"/>
      <c r="E207" s="5">
        <f>Source!AF82</f>
        <v>0</v>
      </c>
      <c r="F207" s="5">
        <f>Source!AE82</f>
        <v>0</v>
      </c>
      <c r="G207" s="6"/>
      <c r="H207" s="6"/>
      <c r="I207" s="6">
        <f>Source!R82</f>
        <v>0</v>
      </c>
      <c r="J207" s="5">
        <f>Source!AI82</f>
        <v>0</v>
      </c>
      <c r="K207" s="6">
        <f>Source!V82</f>
        <v>0</v>
      </c>
    </row>
    <row r="208" spans="1:11" ht="24">
      <c r="A208" s="27" t="str">
        <f>Source!E83</f>
        <v>3,3</v>
      </c>
      <c r="B208" s="27">
        <f>Source!F83</f>
      </c>
      <c r="C208" s="28" t="str">
        <f>Source!G83</f>
        <v>Реле промежуточные электромагнитные серии РКВ</v>
      </c>
      <c r="D208" s="5">
        <f>Source!I83</f>
        <v>2.000004</v>
      </c>
      <c r="E208" s="30">
        <f>Source!AB83</f>
        <v>447.664</v>
      </c>
      <c r="F208" s="30">
        <f>Source!AD83</f>
        <v>0</v>
      </c>
      <c r="G208" s="6">
        <f>Source!O83</f>
        <v>895.33</v>
      </c>
      <c r="H208" s="6">
        <f>Source!S83</f>
        <v>0</v>
      </c>
      <c r="I208" s="31">
        <f>Source!Q83</f>
        <v>0</v>
      </c>
      <c r="J208" s="30">
        <f>Source!AH83</f>
        <v>0</v>
      </c>
      <c r="K208" s="31">
        <f>Source!U83</f>
        <v>0</v>
      </c>
    </row>
    <row r="209" spans="3:11" ht="12.75">
      <c r="C209" s="29" t="str">
        <f>Source!H83</f>
        <v>ШТ</v>
      </c>
      <c r="D209" s="5"/>
      <c r="E209" s="5">
        <f>Source!AF83</f>
        <v>0</v>
      </c>
      <c r="F209" s="5">
        <f>Source!AE83</f>
        <v>0</v>
      </c>
      <c r="G209" s="6"/>
      <c r="H209" s="6"/>
      <c r="I209" s="6">
        <f>Source!R83</f>
        <v>0</v>
      </c>
      <c r="J209" s="5">
        <f>Source!AI83</f>
        <v>0</v>
      </c>
      <c r="K209" s="6">
        <f>Source!V83</f>
        <v>0</v>
      </c>
    </row>
    <row r="210" spans="1:11" ht="84">
      <c r="A210" s="27" t="str">
        <f>Source!E84</f>
        <v>4</v>
      </c>
      <c r="B210" s="27" t="str">
        <f>Source!F84</f>
        <v>м08-03-522-1</v>
      </c>
      <c r="C210" s="28" t="str">
        <f>Source!G84</f>
        <v>Переключатели (рубильники переключающие):  Переключатель на плите с центральной или боковой рукояткой или управлением штангой, устанавливаемый на металлическом основании, однополюсный на ток, А, до 250</v>
      </c>
      <c r="D210" s="5">
        <f>Source!I84</f>
        <v>2</v>
      </c>
      <c r="E210" s="30">
        <f>Source!AB84</f>
        <v>39.327999999999996</v>
      </c>
      <c r="F210" s="30">
        <f>Source!AD84</f>
        <v>1.2</v>
      </c>
      <c r="G210" s="6">
        <f>Source!O84</f>
        <v>78.66</v>
      </c>
      <c r="H210" s="6">
        <f>Source!S84</f>
        <v>34.48</v>
      </c>
      <c r="I210" s="31">
        <f>Source!Q84</f>
        <v>2.4</v>
      </c>
      <c r="J210" s="30">
        <f>Source!AH84</f>
        <v>1.62</v>
      </c>
      <c r="K210" s="31">
        <f>Source!U84</f>
        <v>3.24</v>
      </c>
    </row>
    <row r="211" spans="3:11" ht="12.75">
      <c r="C211" s="29" t="str">
        <f>Source!H84</f>
        <v>шт.</v>
      </c>
      <c r="D211" s="5"/>
      <c r="E211" s="5">
        <f>Source!AF84</f>
        <v>17.24</v>
      </c>
      <c r="F211" s="5">
        <f>Source!AE84</f>
        <v>0.1</v>
      </c>
      <c r="G211" s="6"/>
      <c r="H211" s="6"/>
      <c r="I211" s="6">
        <f>Source!R84</f>
        <v>0.2</v>
      </c>
      <c r="J211" s="5">
        <f>Source!AI84</f>
        <v>0.008</v>
      </c>
      <c r="K211" s="6">
        <f>Source!V84</f>
        <v>0.02</v>
      </c>
    </row>
    <row r="212" spans="3:4" ht="12.75">
      <c r="C212" s="32" t="s">
        <v>578</v>
      </c>
      <c r="D212" s="33" t="str">
        <f>Source!BO84</f>
        <v>м08-03-522-1</v>
      </c>
    </row>
    <row r="213" spans="3:7" ht="12.75">
      <c r="C213" s="34" t="s">
        <v>579</v>
      </c>
      <c r="D213" s="4">
        <f>Source!AT84</f>
        <v>95</v>
      </c>
      <c r="E213" s="4"/>
      <c r="F213" s="4"/>
      <c r="G213" s="35">
        <f>Source!X84</f>
        <v>32.95</v>
      </c>
    </row>
    <row r="214" spans="3:7" ht="12.75">
      <c r="C214" s="34" t="s">
        <v>580</v>
      </c>
      <c r="D214" s="4">
        <f>Source!AU84</f>
        <v>65</v>
      </c>
      <c r="E214" s="4"/>
      <c r="F214" s="4"/>
      <c r="G214" s="35">
        <f>Source!Y84</f>
        <v>22.54</v>
      </c>
    </row>
    <row r="216" spans="1:11" ht="24">
      <c r="A216" s="27" t="str">
        <f>Source!E85</f>
        <v>4,1</v>
      </c>
      <c r="B216" s="27">
        <f>Source!F85</f>
      </c>
      <c r="C216" s="28" t="str">
        <f>Source!G85</f>
        <v>Переключатель путевой бесконтактный БВК</v>
      </c>
      <c r="D216" s="5">
        <f>Source!I85</f>
        <v>1</v>
      </c>
      <c r="E216" s="30">
        <f>Source!AB85</f>
        <v>167.874</v>
      </c>
      <c r="F216" s="30">
        <f>Source!AD85</f>
        <v>0</v>
      </c>
      <c r="G216" s="6">
        <f>Source!O85</f>
        <v>167.87</v>
      </c>
      <c r="H216" s="6">
        <f>Source!S85</f>
        <v>0</v>
      </c>
      <c r="I216" s="31">
        <f>Source!Q85</f>
        <v>0</v>
      </c>
      <c r="J216" s="30">
        <f>Source!AH85</f>
        <v>0</v>
      </c>
      <c r="K216" s="31">
        <f>Source!U85</f>
        <v>0</v>
      </c>
    </row>
    <row r="217" spans="3:11" ht="12.75">
      <c r="C217" s="29" t="str">
        <f>Source!H85</f>
        <v>ШТ</v>
      </c>
      <c r="D217" s="5"/>
      <c r="E217" s="5">
        <f>Source!AF85</f>
        <v>0</v>
      </c>
      <c r="F217" s="5">
        <f>Source!AE85</f>
        <v>0</v>
      </c>
      <c r="G217" s="6"/>
      <c r="H217" s="6"/>
      <c r="I217" s="6">
        <f>Source!R85</f>
        <v>0</v>
      </c>
      <c r="J217" s="5">
        <f>Source!AI85</f>
        <v>0</v>
      </c>
      <c r="K217" s="6">
        <f>Source!V85</f>
        <v>0</v>
      </c>
    </row>
    <row r="218" spans="1:11" ht="24">
      <c r="A218" s="27" t="str">
        <f>Source!E86</f>
        <v>4,2</v>
      </c>
      <c r="B218" s="27">
        <f>Source!F86</f>
      </c>
      <c r="C218" s="28" t="str">
        <f>Source!G86</f>
        <v>Выключатели, тумблеры, переключатели сетевые, концевые ТВ1</v>
      </c>
      <c r="D218" s="5">
        <f>Source!I86</f>
        <v>1</v>
      </c>
      <c r="E218" s="30">
        <f>Source!AB86</f>
        <v>66.038</v>
      </c>
      <c r="F218" s="30">
        <f>Source!AD86</f>
        <v>0</v>
      </c>
      <c r="G218" s="6">
        <f>Source!O86</f>
        <v>66.04</v>
      </c>
      <c r="H218" s="6">
        <f>Source!S86</f>
        <v>0</v>
      </c>
      <c r="I218" s="31">
        <f>Source!Q86</f>
        <v>0</v>
      </c>
      <c r="J218" s="30">
        <f>Source!AH86</f>
        <v>0</v>
      </c>
      <c r="K218" s="31">
        <f>Source!U86</f>
        <v>0</v>
      </c>
    </row>
    <row r="219" spans="3:11" ht="12.75">
      <c r="C219" s="29" t="str">
        <f>Source!H86</f>
        <v>ШТ</v>
      </c>
      <c r="D219" s="5"/>
      <c r="E219" s="5">
        <f>Source!AF86</f>
        <v>0</v>
      </c>
      <c r="F219" s="5">
        <f>Source!AE86</f>
        <v>0</v>
      </c>
      <c r="G219" s="6"/>
      <c r="H219" s="6"/>
      <c r="I219" s="6">
        <f>Source!R86</f>
        <v>0</v>
      </c>
      <c r="J219" s="5">
        <f>Source!AI86</f>
        <v>0</v>
      </c>
      <c r="K219" s="6">
        <f>Source!V86</f>
        <v>0</v>
      </c>
    </row>
    <row r="220" spans="1:11" ht="60">
      <c r="A220" s="27" t="str">
        <f>Source!E87</f>
        <v>5</v>
      </c>
      <c r="B220" s="27" t="str">
        <f>Source!F87</f>
        <v>м08-01-081-1</v>
      </c>
      <c r="C220" s="28" t="str">
        <f>Source!G87</f>
        <v>Аппараты управления и сигнализации: Аппарат (кнопка, ключ управления, замок электромагнитной блокировки, звуковой сигнал, сигнальная лампа), количество подключаемых концов, до 2</v>
      </c>
      <c r="D220" s="5">
        <f>Source!I87</f>
        <v>8</v>
      </c>
      <c r="E220" s="30">
        <f>Source!AB87</f>
        <v>20.788</v>
      </c>
      <c r="F220" s="30">
        <f>Source!AD87</f>
        <v>8.22</v>
      </c>
      <c r="G220" s="6">
        <f>Source!O87</f>
        <v>166.3</v>
      </c>
      <c r="H220" s="6">
        <f>Source!S87</f>
        <v>86.88</v>
      </c>
      <c r="I220" s="31">
        <f>Source!Q87</f>
        <v>65.76</v>
      </c>
      <c r="J220" s="30">
        <f>Source!AH87</f>
        <v>1.13</v>
      </c>
      <c r="K220" s="31">
        <f>Source!U87</f>
        <v>9.04</v>
      </c>
    </row>
    <row r="221" spans="3:11" ht="12.75">
      <c r="C221" s="29" t="str">
        <f>Source!H87</f>
        <v>шт.</v>
      </c>
      <c r="D221" s="5"/>
      <c r="E221" s="5">
        <f>Source!AF87</f>
        <v>10.86</v>
      </c>
      <c r="F221" s="5">
        <f>Source!AE87</f>
        <v>0.94</v>
      </c>
      <c r="G221" s="6"/>
      <c r="H221" s="6"/>
      <c r="I221" s="6">
        <f>Source!R87</f>
        <v>7.52</v>
      </c>
      <c r="J221" s="5">
        <f>Source!AI87</f>
        <v>0.08</v>
      </c>
      <c r="K221" s="6">
        <f>Source!V87</f>
        <v>0.64</v>
      </c>
    </row>
    <row r="222" spans="3:4" ht="12.75">
      <c r="C222" s="32" t="s">
        <v>578</v>
      </c>
      <c r="D222" s="33" t="str">
        <f>Source!BO87</f>
        <v>м08-01-081-1</v>
      </c>
    </row>
    <row r="223" spans="3:7" ht="12.75">
      <c r="C223" s="34" t="s">
        <v>579</v>
      </c>
      <c r="D223" s="4">
        <f>Source!AT87</f>
        <v>95</v>
      </c>
      <c r="E223" s="4"/>
      <c r="F223" s="4"/>
      <c r="G223" s="35">
        <f>Source!X87</f>
        <v>89.68</v>
      </c>
    </row>
    <row r="224" spans="3:7" ht="12.75">
      <c r="C224" s="34" t="s">
        <v>580</v>
      </c>
      <c r="D224" s="4">
        <f>Source!AU87</f>
        <v>65</v>
      </c>
      <c r="E224" s="4"/>
      <c r="F224" s="4"/>
      <c r="G224" s="35">
        <f>Source!Y87</f>
        <v>61.36</v>
      </c>
    </row>
    <row r="226" spans="1:11" ht="24">
      <c r="A226" s="27" t="str">
        <f>Source!E88</f>
        <v>6</v>
      </c>
      <c r="B226" s="27" t="str">
        <f>Source!F88</f>
        <v>м08-01-082-1</v>
      </c>
      <c r="C226" s="28" t="str">
        <f>Source!G88</f>
        <v>Зажимы наборные:  Зажим без кожуха</v>
      </c>
      <c r="D226" s="5">
        <f>Source!I88</f>
        <v>0.3</v>
      </c>
      <c r="E226" s="30">
        <f>Source!AB88</f>
        <v>11502.681999999999</v>
      </c>
      <c r="F226" s="30">
        <f>Source!AD88</f>
        <v>23.17</v>
      </c>
      <c r="G226" s="6">
        <f>Source!O88</f>
        <v>3450.8</v>
      </c>
      <c r="H226" s="6">
        <f>Source!S88</f>
        <v>135.5</v>
      </c>
      <c r="I226" s="31">
        <f>Source!Q88</f>
        <v>6.95</v>
      </c>
      <c r="J226" s="30">
        <f>Source!AH88</f>
        <v>47</v>
      </c>
      <c r="K226" s="31">
        <f>Source!U88</f>
        <v>14.1</v>
      </c>
    </row>
    <row r="227" spans="3:11" ht="12.75">
      <c r="C227" s="29" t="str">
        <f>Source!H88</f>
        <v>100 шт.</v>
      </c>
      <c r="D227" s="5"/>
      <c r="E227" s="5">
        <f>Source!AF88</f>
        <v>451.67</v>
      </c>
      <c r="F227" s="5">
        <f>Source!AE88</f>
        <v>2.6</v>
      </c>
      <c r="G227" s="6"/>
      <c r="H227" s="6"/>
      <c r="I227" s="6">
        <f>Source!R88</f>
        <v>0.78</v>
      </c>
      <c r="J227" s="5">
        <f>Source!AI88</f>
        <v>0.22</v>
      </c>
      <c r="K227" s="6">
        <f>Source!V88</f>
        <v>0.07</v>
      </c>
    </row>
    <row r="228" spans="3:4" ht="12.75">
      <c r="C228" s="32" t="s">
        <v>578</v>
      </c>
      <c r="D228" s="33" t="str">
        <f>Source!BO88</f>
        <v>м08-01-082-1</v>
      </c>
    </row>
    <row r="229" spans="3:7" ht="12.75">
      <c r="C229" s="34" t="s">
        <v>579</v>
      </c>
      <c r="D229" s="4">
        <f>Source!AT88</f>
        <v>95</v>
      </c>
      <c r="E229" s="4"/>
      <c r="F229" s="4"/>
      <c r="G229" s="35">
        <f>Source!X88</f>
        <v>129.47</v>
      </c>
    </row>
    <row r="230" spans="3:7" ht="12.75">
      <c r="C230" s="34" t="s">
        <v>580</v>
      </c>
      <c r="D230" s="4">
        <f>Source!AU88</f>
        <v>65</v>
      </c>
      <c r="E230" s="4"/>
      <c r="F230" s="4"/>
      <c r="G230" s="35">
        <f>Source!Y88</f>
        <v>88.58</v>
      </c>
    </row>
    <row r="234" spans="3:11" ht="12.75">
      <c r="C234" s="36" t="s">
        <v>581</v>
      </c>
      <c r="D234" s="66" t="str">
        <f>IF(Source!C12="1",Source!F90,Source!G90)</f>
        <v>Щит автоматики - оборудование</v>
      </c>
      <c r="E234" s="66"/>
      <c r="F234" s="66"/>
      <c r="G234" s="66"/>
      <c r="H234" s="66"/>
      <c r="I234" s="66"/>
      <c r="J234" s="66"/>
      <c r="K234" s="66"/>
    </row>
    <row r="236" spans="3:8" ht="12.75">
      <c r="C236" s="64" t="str">
        <f>Source!H92</f>
        <v>Прямые затраты</v>
      </c>
      <c r="D236" s="64"/>
      <c r="E236" s="64"/>
      <c r="F236" s="64"/>
      <c r="G236" s="7">
        <f>Source!F92</f>
        <v>7151.8</v>
      </c>
      <c r="H236" s="5"/>
    </row>
    <row r="238" spans="3:8" ht="12.75">
      <c r="C238" s="64" t="str">
        <f>Source!H93</f>
        <v>Стоимость материалов</v>
      </c>
      <c r="D238" s="64"/>
      <c r="E238" s="64"/>
      <c r="F238" s="64"/>
      <c r="G238" s="7">
        <f>Source!F93</f>
        <v>6567.02</v>
      </c>
      <c r="H238" s="5"/>
    </row>
    <row r="240" spans="3:8" ht="12.75">
      <c r="C240" s="64" t="str">
        <f>Source!H94</f>
        <v>Эксплуатация машин</v>
      </c>
      <c r="D240" s="64"/>
      <c r="E240" s="64"/>
      <c r="F240" s="64"/>
      <c r="G240" s="7">
        <f>Source!F94</f>
        <v>175.54</v>
      </c>
      <c r="H240" s="5"/>
    </row>
    <row r="242" spans="3:8" ht="12.75">
      <c r="C242" s="64" t="str">
        <f>Source!H95</f>
        <v>ЗП машинистов</v>
      </c>
      <c r="D242" s="64"/>
      <c r="E242" s="64"/>
      <c r="F242" s="64"/>
      <c r="G242" s="7">
        <f>Source!F95</f>
        <v>19.9</v>
      </c>
      <c r="H242" s="5"/>
    </row>
    <row r="244" spans="3:8" ht="12.75">
      <c r="C244" s="64" t="str">
        <f>Source!H96</f>
        <v>Основная ЗП рабочих</v>
      </c>
      <c r="D244" s="64"/>
      <c r="E244" s="64"/>
      <c r="F244" s="64"/>
      <c r="G244" s="7">
        <f>Source!F96</f>
        <v>409.24</v>
      </c>
      <c r="H244" s="5"/>
    </row>
    <row r="246" spans="3:8" ht="12.75">
      <c r="C246" s="64" t="str">
        <f>Source!H98</f>
        <v>Трудозатраты строителей</v>
      </c>
      <c r="D246" s="64"/>
      <c r="E246" s="64"/>
      <c r="F246" s="64"/>
      <c r="G246" s="7">
        <f>Source!F98</f>
        <v>42.26</v>
      </c>
      <c r="H246" s="5"/>
    </row>
    <row r="248" spans="3:8" ht="12.75">
      <c r="C248" s="64" t="str">
        <f>Source!H99</f>
        <v>Трудозатраты машинистов</v>
      </c>
      <c r="D248" s="64"/>
      <c r="E248" s="64"/>
      <c r="F248" s="64"/>
      <c r="G248" s="7">
        <f>Source!F99</f>
        <v>1.7</v>
      </c>
      <c r="H248" s="5"/>
    </row>
    <row r="250" spans="3:8" ht="12.75">
      <c r="C250" s="64" t="str">
        <f>Source!H101</f>
        <v>Накладные расходы</v>
      </c>
      <c r="D250" s="64"/>
      <c r="E250" s="64"/>
      <c r="F250" s="64"/>
      <c r="G250" s="7">
        <f>Source!F101</f>
        <v>407.69</v>
      </c>
      <c r="H250" s="5"/>
    </row>
    <row r="252" spans="3:8" ht="12.75">
      <c r="C252" s="64" t="str">
        <f>Source!H102</f>
        <v>Сметная прибыль</v>
      </c>
      <c r="D252" s="64"/>
      <c r="E252" s="64"/>
      <c r="F252" s="64"/>
      <c r="G252" s="7">
        <f>Source!F102</f>
        <v>278.94</v>
      </c>
      <c r="H252" s="5"/>
    </row>
    <row r="255" spans="3:11" ht="15.75">
      <c r="C255" s="26" t="s">
        <v>577</v>
      </c>
      <c r="D255" s="65" t="str">
        <f>IF(Source!C12="1",Source!F104,Source!G104)</f>
        <v>Пост сигнализации</v>
      </c>
      <c r="E255" s="65"/>
      <c r="F255" s="65"/>
      <c r="G255" s="65"/>
      <c r="H255" s="65"/>
      <c r="I255" s="65"/>
      <c r="J255" s="65"/>
      <c r="K255" s="65"/>
    </row>
    <row r="257" spans="1:11" ht="48">
      <c r="A257" s="27" t="str">
        <f>Source!E108</f>
        <v>1</v>
      </c>
      <c r="B257" s="27" t="str">
        <f>Source!F108</f>
        <v>м08-02-405-1</v>
      </c>
      <c r="C257" s="28" t="str">
        <f>Source!G108</f>
        <v>Провода по стальным конструкциям и панелям: Провод по установленным стальным конструкциям и панелям, сечение, мм2, до 16</v>
      </c>
      <c r="D257" s="5">
        <f>Source!I108</f>
        <v>0.25</v>
      </c>
      <c r="E257" s="30">
        <f>Source!AB108</f>
        <v>593.762</v>
      </c>
      <c r="F257" s="30">
        <f>Source!AD108</f>
        <v>87.57</v>
      </c>
      <c r="G257" s="6">
        <f>Source!O108</f>
        <v>148.44</v>
      </c>
      <c r="H257" s="6">
        <f>Source!S108</f>
        <v>89.91</v>
      </c>
      <c r="I257" s="31">
        <f>Source!Q108</f>
        <v>21.89</v>
      </c>
      <c r="J257" s="30">
        <f>Source!AH108</f>
        <v>38.3</v>
      </c>
      <c r="K257" s="31">
        <f>Source!U108</f>
        <v>9.58</v>
      </c>
    </row>
    <row r="258" spans="3:11" ht="12.75">
      <c r="C258" s="29" t="str">
        <f>Source!H108</f>
        <v>100 м</v>
      </c>
      <c r="D258" s="5"/>
      <c r="E258" s="5">
        <f>Source!AF108</f>
        <v>359.64</v>
      </c>
      <c r="F258" s="5">
        <f>Source!AE108</f>
        <v>5.9</v>
      </c>
      <c r="G258" s="6"/>
      <c r="H258" s="6"/>
      <c r="I258" s="6">
        <f>Source!R108</f>
        <v>1.48</v>
      </c>
      <c r="J258" s="5">
        <f>Source!AI108</f>
        <v>0.5</v>
      </c>
      <c r="K258" s="6">
        <f>Source!V108</f>
        <v>0.13</v>
      </c>
    </row>
    <row r="259" spans="3:4" ht="12.75">
      <c r="C259" s="32" t="s">
        <v>578</v>
      </c>
      <c r="D259" s="33" t="str">
        <f>Source!BO108</f>
        <v>м08-02-405-1</v>
      </c>
    </row>
    <row r="260" spans="3:7" ht="12.75">
      <c r="C260" s="34" t="s">
        <v>579</v>
      </c>
      <c r="D260" s="4">
        <f>Source!AT108</f>
        <v>95</v>
      </c>
      <c r="E260" s="4"/>
      <c r="F260" s="4"/>
      <c r="G260" s="35">
        <f>Source!X108</f>
        <v>86.82</v>
      </c>
    </row>
    <row r="261" spans="3:7" ht="12.75">
      <c r="C261" s="34" t="s">
        <v>580</v>
      </c>
      <c r="D261" s="4">
        <f>Source!AU108</f>
        <v>65</v>
      </c>
      <c r="E261" s="4"/>
      <c r="F261" s="4"/>
      <c r="G261" s="35">
        <f>Source!Y108</f>
        <v>59.4</v>
      </c>
    </row>
    <row r="263" spans="1:11" ht="48">
      <c r="A263" s="27" t="str">
        <f>Source!E109</f>
        <v>1,1</v>
      </c>
      <c r="B263" s="27" t="str">
        <f>Source!F109</f>
        <v>507-0262</v>
      </c>
      <c r="C263" s="28" t="str">
        <f>Source!G109</f>
        <v>Провода силовые для электрических установок на напряжение до 450 В с медной жилой марки ПВ3, сечением 1 мм2</v>
      </c>
      <c r="D263" s="5">
        <f>Source!I109</f>
        <v>0.025</v>
      </c>
      <c r="E263" s="30">
        <f>Source!AB109</f>
        <v>1615.852</v>
      </c>
      <c r="F263" s="30">
        <f>Source!AD109</f>
        <v>0</v>
      </c>
      <c r="G263" s="6">
        <f>Source!O109</f>
        <v>40.4</v>
      </c>
      <c r="H263" s="6">
        <f>Source!S109</f>
        <v>0</v>
      </c>
      <c r="I263" s="31">
        <f>Source!Q109</f>
        <v>0</v>
      </c>
      <c r="J263" s="30">
        <f>Source!AH109</f>
        <v>0</v>
      </c>
      <c r="K263" s="31">
        <f>Source!U109</f>
        <v>0</v>
      </c>
    </row>
    <row r="264" spans="3:11" ht="12.75">
      <c r="C264" s="29" t="str">
        <f>Source!H109</f>
        <v>1000 м</v>
      </c>
      <c r="D264" s="5"/>
      <c r="E264" s="5">
        <f>Source!AF109</f>
        <v>0</v>
      </c>
      <c r="F264" s="5">
        <f>Source!AE109</f>
        <v>0</v>
      </c>
      <c r="G264" s="6"/>
      <c r="H264" s="6"/>
      <c r="I264" s="6">
        <f>Source!R109</f>
        <v>0</v>
      </c>
      <c r="J264" s="5">
        <f>Source!AI109</f>
        <v>0</v>
      </c>
      <c r="K264" s="6">
        <f>Source!V109</f>
        <v>0</v>
      </c>
    </row>
    <row r="265" spans="3:4" ht="12.75">
      <c r="C265" s="32" t="s">
        <v>578</v>
      </c>
      <c r="D265" s="33" t="str">
        <f>Source!BO109</f>
        <v>507-0262</v>
      </c>
    </row>
    <row r="266" spans="1:11" ht="12.75">
      <c r="A266" s="27" t="str">
        <f>Source!E110</f>
        <v>1,2</v>
      </c>
      <c r="B266" s="27">
        <f>Source!F110</f>
      </c>
      <c r="C266" s="28" t="str">
        <f>Source!G110</f>
        <v>Рамки</v>
      </c>
      <c r="D266" s="5">
        <f>Source!I110</f>
        <v>4</v>
      </c>
      <c r="E266" s="30">
        <f>Source!AB110</f>
        <v>662.62</v>
      </c>
      <c r="F266" s="30">
        <f>Source!AD110</f>
        <v>0</v>
      </c>
      <c r="G266" s="6">
        <f>Source!O110</f>
        <v>2650.48</v>
      </c>
      <c r="H266" s="6">
        <f>Source!S110</f>
        <v>0</v>
      </c>
      <c r="I266" s="31">
        <f>Source!Q110</f>
        <v>0</v>
      </c>
      <c r="J266" s="30">
        <f>Source!AH110</f>
        <v>0</v>
      </c>
      <c r="K266" s="31">
        <f>Source!U110</f>
        <v>0</v>
      </c>
    </row>
    <row r="267" spans="3:11" ht="12.75">
      <c r="C267" s="29" t="str">
        <f>Source!H110</f>
        <v>1000ШТ</v>
      </c>
      <c r="D267" s="5"/>
      <c r="E267" s="5">
        <f>Source!AF110</f>
        <v>0</v>
      </c>
      <c r="F267" s="5">
        <f>Source!AE110</f>
        <v>0</v>
      </c>
      <c r="G267" s="6"/>
      <c r="H267" s="6"/>
      <c r="I267" s="6">
        <f>Source!R110</f>
        <v>0</v>
      </c>
      <c r="J267" s="5">
        <f>Source!AI110</f>
        <v>0</v>
      </c>
      <c r="K267" s="6">
        <f>Source!V110</f>
        <v>0</v>
      </c>
    </row>
    <row r="268" spans="1:11" ht="60">
      <c r="A268" s="27" t="str">
        <f>Source!E111</f>
        <v>2</v>
      </c>
      <c r="B268" s="27" t="str">
        <f>Source!F111</f>
        <v>м08-03-532-1</v>
      </c>
      <c r="C268" s="28" t="str">
        <f>Source!G111</f>
        <v>Посты управления кнопочные: Пост управления кнопочный общего назначения, устанавливаемый на конструкции на полу, количество элементов поста, до 3</v>
      </c>
      <c r="D268" s="5">
        <f>Source!I111</f>
        <v>1</v>
      </c>
      <c r="E268" s="30">
        <f>Source!AB111</f>
        <v>101.048</v>
      </c>
      <c r="F268" s="30">
        <f>Source!AD111</f>
        <v>0.99</v>
      </c>
      <c r="G268" s="6">
        <f>Source!O111</f>
        <v>101.05</v>
      </c>
      <c r="H268" s="6">
        <f>Source!S111</f>
        <v>17.78</v>
      </c>
      <c r="I268" s="31">
        <f>Source!Q111</f>
        <v>0.99</v>
      </c>
      <c r="J268" s="30">
        <f>Source!AH111</f>
        <v>1.87</v>
      </c>
      <c r="K268" s="31">
        <f>Source!U111</f>
        <v>1.87</v>
      </c>
    </row>
    <row r="269" spans="3:11" ht="12.75">
      <c r="C269" s="29" t="str">
        <f>Source!H111</f>
        <v>шт.</v>
      </c>
      <c r="D269" s="5"/>
      <c r="E269" s="5">
        <f>Source!AF111</f>
        <v>17.78</v>
      </c>
      <c r="F269" s="5">
        <f>Source!AE111</f>
        <v>0.08</v>
      </c>
      <c r="G269" s="6"/>
      <c r="H269" s="6"/>
      <c r="I269" s="6">
        <f>Source!R111</f>
        <v>0.08</v>
      </c>
      <c r="J269" s="5">
        <f>Source!AI111</f>
        <v>0.006</v>
      </c>
      <c r="K269" s="6">
        <f>Source!V111</f>
        <v>0.01</v>
      </c>
    </row>
    <row r="270" spans="3:4" ht="12.75">
      <c r="C270" s="32" t="s">
        <v>578</v>
      </c>
      <c r="D270" s="33" t="str">
        <f>Source!BO111</f>
        <v>м08-03-532-1</v>
      </c>
    </row>
    <row r="271" spans="3:7" ht="12.75">
      <c r="C271" s="34" t="s">
        <v>579</v>
      </c>
      <c r="D271" s="4">
        <f>Source!AT111</f>
        <v>95</v>
      </c>
      <c r="E271" s="4"/>
      <c r="F271" s="4"/>
      <c r="G271" s="35">
        <f>Source!X111</f>
        <v>16.97</v>
      </c>
    </row>
    <row r="272" spans="3:7" ht="12.75">
      <c r="C272" s="34" t="s">
        <v>580</v>
      </c>
      <c r="D272" s="4">
        <f>Source!AU111</f>
        <v>65</v>
      </c>
      <c r="E272" s="4"/>
      <c r="F272" s="4"/>
      <c r="G272" s="35">
        <f>Source!Y111</f>
        <v>11.61</v>
      </c>
    </row>
    <row r="274" spans="1:11" ht="36">
      <c r="A274" s="27" t="str">
        <f>Source!E112</f>
        <v>2,1</v>
      </c>
      <c r="B274" s="27">
        <f>Source!F112</f>
      </c>
      <c r="C274" s="28" t="str">
        <f>Source!G112</f>
        <v>Посты управления кнопочные серии ПКУ15. Панели с кожухом к постам управления</v>
      </c>
      <c r="D274" s="5">
        <f>Source!I112</f>
        <v>1</v>
      </c>
      <c r="E274" s="30">
        <f>Source!AB112</f>
        <v>503.622</v>
      </c>
      <c r="F274" s="30">
        <f>Source!AD112</f>
        <v>0</v>
      </c>
      <c r="G274" s="6">
        <f>Source!O112</f>
        <v>503.62</v>
      </c>
      <c r="H274" s="6">
        <f>Source!S112</f>
        <v>0</v>
      </c>
      <c r="I274" s="31">
        <f>Source!Q112</f>
        <v>0</v>
      </c>
      <c r="J274" s="30">
        <f>Source!AH112</f>
        <v>0</v>
      </c>
      <c r="K274" s="31">
        <f>Source!U112</f>
        <v>0</v>
      </c>
    </row>
    <row r="275" spans="3:11" ht="12.75">
      <c r="C275" s="29" t="str">
        <f>Source!H112</f>
        <v>ШТ</v>
      </c>
      <c r="D275" s="5"/>
      <c r="E275" s="5">
        <f>Source!AF112</f>
        <v>0</v>
      </c>
      <c r="F275" s="5">
        <f>Source!AE112</f>
        <v>0</v>
      </c>
      <c r="G275" s="6"/>
      <c r="H275" s="6"/>
      <c r="I275" s="6">
        <f>Source!R112</f>
        <v>0</v>
      </c>
      <c r="J275" s="5">
        <f>Source!AI112</f>
        <v>0</v>
      </c>
      <c r="K275" s="6">
        <f>Source!V112</f>
        <v>0</v>
      </c>
    </row>
    <row r="276" spans="1:11" ht="12.75">
      <c r="A276" s="27" t="str">
        <f>Source!E113</f>
        <v>3</v>
      </c>
      <c r="B276" s="27" t="str">
        <f>Source!F113</f>
        <v>67-5-1</v>
      </c>
      <c r="C276" s="28" t="str">
        <f>Source!G113</f>
        <v>Смена ламп накаливания</v>
      </c>
      <c r="D276" s="5">
        <f>Source!I113</f>
        <v>0.01</v>
      </c>
      <c r="E276" s="30">
        <f>Source!AB113</f>
        <v>672.29</v>
      </c>
      <c r="F276" s="30">
        <f>Source!AD113</f>
        <v>0</v>
      </c>
      <c r="G276" s="6">
        <f>Source!O113</f>
        <v>6.72</v>
      </c>
      <c r="H276" s="6">
        <f>Source!S113</f>
        <v>0.6</v>
      </c>
      <c r="I276" s="31">
        <f>Source!Q113</f>
        <v>0</v>
      </c>
      <c r="J276" s="30">
        <f>Source!AH113</f>
        <v>7.1</v>
      </c>
      <c r="K276" s="31">
        <f>Source!U113</f>
        <v>0.07</v>
      </c>
    </row>
    <row r="277" spans="3:11" ht="12.75">
      <c r="C277" s="29" t="str">
        <f>Source!H113</f>
        <v>100 шт.</v>
      </c>
      <c r="D277" s="5"/>
      <c r="E277" s="5">
        <f>Source!AF113</f>
        <v>60.49</v>
      </c>
      <c r="F277" s="5">
        <f>Source!AE113</f>
        <v>0</v>
      </c>
      <c r="G277" s="6"/>
      <c r="H277" s="6"/>
      <c r="I277" s="6">
        <f>Source!R113</f>
        <v>0</v>
      </c>
      <c r="J277" s="5">
        <f>Source!AI113</f>
        <v>0</v>
      </c>
      <c r="K277" s="6">
        <f>Source!V113</f>
        <v>0</v>
      </c>
    </row>
    <row r="278" spans="3:4" ht="12.75">
      <c r="C278" s="32" t="s">
        <v>578</v>
      </c>
      <c r="D278" s="33" t="str">
        <f>Source!BO113</f>
        <v>67-5-1</v>
      </c>
    </row>
    <row r="279" spans="3:7" ht="12.75">
      <c r="C279" s="34" t="s">
        <v>579</v>
      </c>
      <c r="D279" s="4">
        <f>Source!AT113</f>
        <v>85</v>
      </c>
      <c r="E279" s="4"/>
      <c r="F279" s="4"/>
      <c r="G279" s="35">
        <f>Source!X113</f>
        <v>0.51</v>
      </c>
    </row>
    <row r="280" spans="3:7" ht="12.75">
      <c r="C280" s="34" t="s">
        <v>580</v>
      </c>
      <c r="D280" s="4">
        <f>Source!AU113</f>
        <v>65</v>
      </c>
      <c r="E280" s="4"/>
      <c r="F280" s="4"/>
      <c r="G280" s="35">
        <f>Source!Y113</f>
        <v>0.39</v>
      </c>
    </row>
    <row r="282" spans="1:11" ht="24">
      <c r="A282" s="27" t="str">
        <f>Source!E114</f>
        <v>3,1</v>
      </c>
      <c r="B282" s="27" t="str">
        <f>Source!F114</f>
        <v>500-9006-015-73</v>
      </c>
      <c r="C282" s="28" t="str">
        <f>Source!G114</f>
        <v>Лампы накаливания:  ЛОН 25</v>
      </c>
      <c r="D282" s="5">
        <f>Source!I114</f>
        <v>0.1</v>
      </c>
      <c r="E282" s="30">
        <f>Source!AB114</f>
        <v>23.226</v>
      </c>
      <c r="F282" s="30">
        <f>Source!AD114</f>
        <v>0</v>
      </c>
      <c r="G282" s="6">
        <f>Source!O114</f>
        <v>2.32</v>
      </c>
      <c r="H282" s="6">
        <f>Source!S114</f>
        <v>0</v>
      </c>
      <c r="I282" s="31">
        <f>Source!Q114</f>
        <v>0</v>
      </c>
      <c r="J282" s="30">
        <f>Source!AH114</f>
        <v>0</v>
      </c>
      <c r="K282" s="31">
        <f>Source!U114</f>
        <v>0</v>
      </c>
    </row>
    <row r="283" spans="3:11" ht="12.75">
      <c r="C283" s="29" t="str">
        <f>Source!H114</f>
        <v>10 шт.</v>
      </c>
      <c r="D283" s="5"/>
      <c r="E283" s="5">
        <f>Source!AF114</f>
        <v>0</v>
      </c>
      <c r="F283" s="5">
        <f>Source!AE114</f>
        <v>0</v>
      </c>
      <c r="G283" s="6"/>
      <c r="H283" s="6"/>
      <c r="I283" s="6">
        <f>Source!R114</f>
        <v>0</v>
      </c>
      <c r="J283" s="5">
        <f>Source!AI114</f>
        <v>0</v>
      </c>
      <c r="K283" s="6">
        <f>Source!V114</f>
        <v>0</v>
      </c>
    </row>
    <row r="284" spans="1:11" ht="60">
      <c r="A284" s="27" t="str">
        <f>Source!E115</f>
        <v>4</v>
      </c>
      <c r="B284" s="27" t="str">
        <f>Source!F115</f>
        <v>м08-01-081-1</v>
      </c>
      <c r="C284" s="28" t="str">
        <f>Source!G115</f>
        <v>Аппараты управления и сигнализации: Аппарат (кнопка, ключ управления, замок электромагнитной блокировки, звуковой сигнал, сигнальная лампа), количество подключаемых концов, до 2</v>
      </c>
      <c r="D284" s="5">
        <f>Source!I115</f>
        <v>1</v>
      </c>
      <c r="E284" s="30">
        <f>Source!AB115</f>
        <v>20.788</v>
      </c>
      <c r="F284" s="30">
        <f>Source!AD115</f>
        <v>8.22</v>
      </c>
      <c r="G284" s="6">
        <f>Source!O115</f>
        <v>20.79</v>
      </c>
      <c r="H284" s="6">
        <f>Source!S115</f>
        <v>10.86</v>
      </c>
      <c r="I284" s="31">
        <f>Source!Q115</f>
        <v>8.22</v>
      </c>
      <c r="J284" s="30">
        <f>Source!AH115</f>
        <v>1.13</v>
      </c>
      <c r="K284" s="31">
        <f>Source!U115</f>
        <v>1.13</v>
      </c>
    </row>
    <row r="285" spans="3:11" ht="12.75">
      <c r="C285" s="29" t="str">
        <f>Source!H115</f>
        <v>шт.</v>
      </c>
      <c r="D285" s="5"/>
      <c r="E285" s="5">
        <f>Source!AF115</f>
        <v>10.86</v>
      </c>
      <c r="F285" s="5">
        <f>Source!AE115</f>
        <v>0.94</v>
      </c>
      <c r="G285" s="6"/>
      <c r="H285" s="6"/>
      <c r="I285" s="6">
        <f>Source!R115</f>
        <v>0.94</v>
      </c>
      <c r="J285" s="5">
        <f>Source!AI115</f>
        <v>0.08</v>
      </c>
      <c r="K285" s="6">
        <f>Source!V115</f>
        <v>0.08</v>
      </c>
    </row>
    <row r="286" spans="3:4" ht="12.75">
      <c r="C286" s="32" t="s">
        <v>578</v>
      </c>
      <c r="D286" s="33" t="str">
        <f>Source!BO115</f>
        <v>м08-01-081-1</v>
      </c>
    </row>
    <row r="287" spans="3:7" ht="12.75">
      <c r="C287" s="34" t="s">
        <v>579</v>
      </c>
      <c r="D287" s="4">
        <f>Source!AT115</f>
        <v>95</v>
      </c>
      <c r="E287" s="4"/>
      <c r="F287" s="4"/>
      <c r="G287" s="35">
        <f>Source!X115</f>
        <v>11.21</v>
      </c>
    </row>
    <row r="288" spans="3:7" ht="12.75">
      <c r="C288" s="34" t="s">
        <v>580</v>
      </c>
      <c r="D288" s="4">
        <f>Source!AU115</f>
        <v>65</v>
      </c>
      <c r="E288" s="4"/>
      <c r="F288" s="4"/>
      <c r="G288" s="35">
        <f>Source!Y115</f>
        <v>7.67</v>
      </c>
    </row>
    <row r="292" spans="3:11" ht="12.75">
      <c r="C292" s="36" t="s">
        <v>581</v>
      </c>
      <c r="D292" s="66" t="str">
        <f>IF(Source!C12="1",Source!F117,Source!G117)</f>
        <v>Пост сигнализации</v>
      </c>
      <c r="E292" s="66"/>
      <c r="F292" s="66"/>
      <c r="G292" s="66"/>
      <c r="H292" s="66"/>
      <c r="I292" s="66"/>
      <c r="J292" s="66"/>
      <c r="K292" s="66"/>
    </row>
    <row r="294" spans="3:8" ht="12.75">
      <c r="C294" s="64" t="str">
        <f>Source!H119</f>
        <v>Прямые затраты</v>
      </c>
      <c r="D294" s="64"/>
      <c r="E294" s="64"/>
      <c r="F294" s="64"/>
      <c r="G294" s="7">
        <f>Source!F119</f>
        <v>3473.82</v>
      </c>
      <c r="H294" s="5"/>
    </row>
    <row r="296" spans="3:8" ht="12.75">
      <c r="C296" s="64" t="str">
        <f>Source!H120</f>
        <v>Стоимость материалов</v>
      </c>
      <c r="D296" s="64"/>
      <c r="E296" s="64"/>
      <c r="F296" s="64"/>
      <c r="G296" s="7">
        <f>Source!F120</f>
        <v>3323.57</v>
      </c>
      <c r="H296" s="5"/>
    </row>
    <row r="298" spans="3:8" ht="12.75">
      <c r="C298" s="64" t="str">
        <f>Source!H121</f>
        <v>Эксплуатация машин</v>
      </c>
      <c r="D298" s="64"/>
      <c r="E298" s="64"/>
      <c r="F298" s="64"/>
      <c r="G298" s="7">
        <f>Source!F121</f>
        <v>31.1</v>
      </c>
      <c r="H298" s="5"/>
    </row>
    <row r="300" spans="3:8" ht="12.75">
      <c r="C300" s="64" t="str">
        <f>Source!H122</f>
        <v>ЗП машинистов</v>
      </c>
      <c r="D300" s="64"/>
      <c r="E300" s="64"/>
      <c r="F300" s="64"/>
      <c r="G300" s="7">
        <f>Source!F122</f>
        <v>2.5</v>
      </c>
      <c r="H300" s="5"/>
    </row>
    <row r="302" spans="3:8" ht="12.75">
      <c r="C302" s="64" t="str">
        <f>Source!H123</f>
        <v>Основная ЗП рабочих</v>
      </c>
      <c r="D302" s="64"/>
      <c r="E302" s="64"/>
      <c r="F302" s="64"/>
      <c r="G302" s="7">
        <f>Source!F123</f>
        <v>119.15</v>
      </c>
      <c r="H302" s="5"/>
    </row>
    <row r="304" spans="3:8" ht="12.75">
      <c r="C304" s="64" t="str">
        <f>Source!H125</f>
        <v>Трудозатраты строителей</v>
      </c>
      <c r="D304" s="64"/>
      <c r="E304" s="64"/>
      <c r="F304" s="64"/>
      <c r="G304" s="7">
        <f>Source!F125</f>
        <v>12.65</v>
      </c>
      <c r="H304" s="5"/>
    </row>
    <row r="306" spans="3:8" ht="12.75">
      <c r="C306" s="64" t="str">
        <f>Source!H126</f>
        <v>Трудозатраты машинистов</v>
      </c>
      <c r="D306" s="64"/>
      <c r="E306" s="64"/>
      <c r="F306" s="64"/>
      <c r="G306" s="7">
        <f>Source!F126</f>
        <v>0.22</v>
      </c>
      <c r="H306" s="5"/>
    </row>
    <row r="308" spans="3:8" ht="12.75">
      <c r="C308" s="64" t="str">
        <f>Source!H128</f>
        <v>Накладные расходы</v>
      </c>
      <c r="D308" s="64"/>
      <c r="E308" s="64"/>
      <c r="F308" s="64"/>
      <c r="G308" s="7">
        <f>Source!F128</f>
        <v>115.51</v>
      </c>
      <c r="H308" s="5"/>
    </row>
    <row r="310" spans="3:8" ht="12.75">
      <c r="C310" s="64" t="str">
        <f>Source!H129</f>
        <v>Сметная прибыль</v>
      </c>
      <c r="D310" s="64"/>
      <c r="E310" s="64"/>
      <c r="F310" s="64"/>
      <c r="G310" s="7">
        <f>Source!F129</f>
        <v>79.07</v>
      </c>
      <c r="H310" s="5"/>
    </row>
    <row r="313" spans="3:11" ht="15.75">
      <c r="C313" s="26" t="s">
        <v>577</v>
      </c>
      <c r="D313" s="65" t="str">
        <f>IF(Source!C12="1",Source!F131,Source!G131)</f>
        <v>Оборудование</v>
      </c>
      <c r="E313" s="65"/>
      <c r="F313" s="65"/>
      <c r="G313" s="65"/>
      <c r="H313" s="65"/>
      <c r="I313" s="65"/>
      <c r="J313" s="65"/>
      <c r="K313" s="65"/>
    </row>
    <row r="315" spans="1:11" ht="12.75">
      <c r="A315" s="27" t="str">
        <f>Source!E135</f>
        <v>1</v>
      </c>
      <c r="B315" s="27">
        <f>Source!F135</f>
      </c>
      <c r="C315" s="28" t="str">
        <f>Source!G135</f>
        <v>Термометры в оправе</v>
      </c>
      <c r="D315" s="5">
        <f>Source!I135</f>
        <v>11</v>
      </c>
      <c r="E315" s="30">
        <f>Source!AB135</f>
        <v>433.17400000000004</v>
      </c>
      <c r="F315" s="30">
        <f>Source!AD135</f>
        <v>0</v>
      </c>
      <c r="G315" s="6">
        <f>Source!O135</f>
        <v>4764.91</v>
      </c>
      <c r="H315" s="6">
        <f>Source!S135</f>
        <v>0</v>
      </c>
      <c r="I315" s="31">
        <f>Source!Q135</f>
        <v>0</v>
      </c>
      <c r="J315" s="30">
        <f>Source!AH135</f>
        <v>0</v>
      </c>
      <c r="K315" s="31">
        <f>Source!U135</f>
        <v>0</v>
      </c>
    </row>
    <row r="316" spans="3:11" ht="12.75">
      <c r="C316" s="29" t="str">
        <f>Source!H135</f>
        <v>ШТ</v>
      </c>
      <c r="D316" s="5"/>
      <c r="E316" s="5">
        <f>Source!AF135</f>
        <v>0</v>
      </c>
      <c r="F316" s="5">
        <f>Source!AE135</f>
        <v>0</v>
      </c>
      <c r="G316" s="6"/>
      <c r="H316" s="6"/>
      <c r="I316" s="6">
        <f>Source!R135</f>
        <v>0</v>
      </c>
      <c r="J316" s="5">
        <f>Source!AI135</f>
        <v>0</v>
      </c>
      <c r="K316" s="6">
        <f>Source!V135</f>
        <v>0</v>
      </c>
    </row>
    <row r="317" spans="1:11" ht="12.75">
      <c r="A317" s="27" t="str">
        <f>Source!E136</f>
        <v>2</v>
      </c>
      <c r="B317" s="27">
        <f>Source!F136</f>
      </c>
      <c r="C317" s="28" t="str">
        <f>Source!G136</f>
        <v>Манометр МП-4У</v>
      </c>
      <c r="D317" s="5">
        <f>Source!I136</f>
        <v>5</v>
      </c>
      <c r="E317" s="30">
        <f>Source!AB136</f>
        <v>364.19599999999997</v>
      </c>
      <c r="F317" s="30">
        <f>Source!AD136</f>
        <v>0</v>
      </c>
      <c r="G317" s="6">
        <f>Source!O136</f>
        <v>1820.98</v>
      </c>
      <c r="H317" s="6">
        <f>Source!S136</f>
        <v>0</v>
      </c>
      <c r="I317" s="31">
        <f>Source!Q136</f>
        <v>0</v>
      </c>
      <c r="J317" s="30">
        <f>Source!AH136</f>
        <v>0</v>
      </c>
      <c r="K317" s="31">
        <f>Source!U136</f>
        <v>0</v>
      </c>
    </row>
    <row r="318" spans="3:11" ht="12.75">
      <c r="C318" s="29" t="str">
        <f>Source!H136</f>
        <v>ШТ</v>
      </c>
      <c r="D318" s="5"/>
      <c r="E318" s="5">
        <f>Source!AF136</f>
        <v>0</v>
      </c>
      <c r="F318" s="5">
        <f>Source!AE136</f>
        <v>0</v>
      </c>
      <c r="G318" s="6"/>
      <c r="H318" s="6"/>
      <c r="I318" s="6">
        <f>Source!R136</f>
        <v>0</v>
      </c>
      <c r="J318" s="5">
        <f>Source!AI136</f>
        <v>0</v>
      </c>
      <c r="K318" s="6">
        <f>Source!V136</f>
        <v>0</v>
      </c>
    </row>
    <row r="319" spans="1:11" ht="24">
      <c r="A319" s="27" t="str">
        <f>Source!E138</f>
        <v>3</v>
      </c>
      <c r="B319" s="27">
        <f>Source!F138</f>
      </c>
      <c r="C319" s="28" t="str">
        <f>Source!G138</f>
        <v>Манометр показывающий сигнализирующий ДМ2010СГ</v>
      </c>
      <c r="D319" s="5">
        <f>Source!I138</f>
        <v>2</v>
      </c>
      <c r="E319" s="30">
        <f>Source!AB138</f>
        <v>780.4019999999999</v>
      </c>
      <c r="F319" s="30">
        <f>Source!AD138</f>
        <v>0</v>
      </c>
      <c r="G319" s="6">
        <f>Source!O138</f>
        <v>1560.8</v>
      </c>
      <c r="H319" s="6">
        <f>Source!S138</f>
        <v>0</v>
      </c>
      <c r="I319" s="31">
        <f>Source!Q138</f>
        <v>0</v>
      </c>
      <c r="J319" s="30">
        <f>Source!AH138</f>
        <v>0</v>
      </c>
      <c r="K319" s="31">
        <f>Source!U138</f>
        <v>0</v>
      </c>
    </row>
    <row r="320" spans="3:11" ht="12.75">
      <c r="C320" s="29" t="str">
        <f>Source!H138</f>
        <v>ШТ</v>
      </c>
      <c r="D320" s="5"/>
      <c r="E320" s="5">
        <f>Source!AF138</f>
        <v>0</v>
      </c>
      <c r="F320" s="5">
        <f>Source!AE138</f>
        <v>0</v>
      </c>
      <c r="G320" s="6"/>
      <c r="H320" s="6"/>
      <c r="I320" s="6">
        <f>Source!R138</f>
        <v>0</v>
      </c>
      <c r="J320" s="5">
        <f>Source!AI138</f>
        <v>0</v>
      </c>
      <c r="K320" s="6">
        <f>Source!V138</f>
        <v>0</v>
      </c>
    </row>
    <row r="321" spans="1:11" ht="12.75">
      <c r="A321" s="27" t="str">
        <f>Source!E139</f>
        <v>4</v>
      </c>
      <c r="B321" s="27">
        <f>Source!F139</f>
      </c>
      <c r="C321" s="28" t="str">
        <f>Source!G139</f>
        <v>Звонок громкого боя переменного тока</v>
      </c>
      <c r="D321" s="5">
        <f>Source!I139</f>
        <v>2</v>
      </c>
      <c r="E321" s="30">
        <f>Source!AB139</f>
        <v>804.048</v>
      </c>
      <c r="F321" s="30">
        <f>Source!AD139</f>
        <v>0</v>
      </c>
      <c r="G321" s="6">
        <f>Source!O139</f>
        <v>1608.1</v>
      </c>
      <c r="H321" s="6">
        <f>Source!S139</f>
        <v>0</v>
      </c>
      <c r="I321" s="31">
        <f>Source!Q139</f>
        <v>0</v>
      </c>
      <c r="J321" s="30">
        <f>Source!AH139</f>
        <v>0</v>
      </c>
      <c r="K321" s="31">
        <f>Source!U139</f>
        <v>0</v>
      </c>
    </row>
    <row r="322" spans="3:11" ht="12.75">
      <c r="C322" s="29" t="str">
        <f>Source!H139</f>
        <v>ШТ</v>
      </c>
      <c r="D322" s="5"/>
      <c r="E322" s="5">
        <f>Source!AF139</f>
        <v>0</v>
      </c>
      <c r="F322" s="5">
        <f>Source!AE139</f>
        <v>0</v>
      </c>
      <c r="G322" s="6"/>
      <c r="H322" s="6"/>
      <c r="I322" s="6">
        <f>Source!R139</f>
        <v>0</v>
      </c>
      <c r="J322" s="5">
        <f>Source!AI139</f>
        <v>0</v>
      </c>
      <c r="K322" s="6">
        <f>Source!V139</f>
        <v>0</v>
      </c>
    </row>
    <row r="323" spans="1:11" ht="24">
      <c r="A323" s="27" t="str">
        <f>Source!E140</f>
        <v>5</v>
      </c>
      <c r="B323" s="27">
        <f>Source!F140</f>
      </c>
      <c r="C323" s="28" t="str">
        <f>Source!G140</f>
        <v>Датчик давления и сигнализатора ДД-0,25</v>
      </c>
      <c r="D323" s="5">
        <f>Source!I140</f>
        <v>1</v>
      </c>
      <c r="E323" s="30">
        <f>Source!AB140</f>
        <v>1135.1339999999998</v>
      </c>
      <c r="F323" s="30">
        <f>Source!AD140</f>
        <v>0</v>
      </c>
      <c r="G323" s="6">
        <f>Source!O140</f>
        <v>1135.13</v>
      </c>
      <c r="H323" s="6">
        <f>Source!S140</f>
        <v>0</v>
      </c>
      <c r="I323" s="31">
        <f>Source!Q140</f>
        <v>0</v>
      </c>
      <c r="J323" s="30">
        <f>Source!AH140</f>
        <v>0</v>
      </c>
      <c r="K323" s="31">
        <f>Source!U140</f>
        <v>0</v>
      </c>
    </row>
    <row r="324" spans="3:11" ht="12.75">
      <c r="C324" s="29" t="str">
        <f>Source!H140</f>
        <v>ШТ</v>
      </c>
      <c r="D324" s="5"/>
      <c r="E324" s="5">
        <f>Source!AF140</f>
        <v>0</v>
      </c>
      <c r="F324" s="5">
        <f>Source!AE140</f>
        <v>0</v>
      </c>
      <c r="G324" s="6"/>
      <c r="H324" s="6"/>
      <c r="I324" s="6">
        <f>Source!R140</f>
        <v>0</v>
      </c>
      <c r="J324" s="5">
        <f>Source!AI140</f>
        <v>0</v>
      </c>
      <c r="K324" s="6">
        <f>Source!V140</f>
        <v>0</v>
      </c>
    </row>
    <row r="325" spans="1:11" ht="12.75">
      <c r="A325" s="27" t="str">
        <f>Source!E141</f>
        <v>6</v>
      </c>
      <c r="B325" s="27">
        <f>Source!F141</f>
      </c>
      <c r="C325" s="28" t="str">
        <f>Source!G141</f>
        <v>Тягонапоромер НМП-52</v>
      </c>
      <c r="D325" s="5">
        <f>Source!I141</f>
        <v>2</v>
      </c>
      <c r="E325" s="30">
        <f>Source!AB141</f>
        <v>2497.292</v>
      </c>
      <c r="F325" s="30">
        <f>Source!AD141</f>
        <v>0</v>
      </c>
      <c r="G325" s="6">
        <f>Source!O141</f>
        <v>4994.58</v>
      </c>
      <c r="H325" s="6">
        <f>Source!S141</f>
        <v>0</v>
      </c>
      <c r="I325" s="31">
        <f>Source!Q141</f>
        <v>0</v>
      </c>
      <c r="J325" s="30">
        <f>Source!AH141</f>
        <v>0</v>
      </c>
      <c r="K325" s="31">
        <f>Source!U141</f>
        <v>0</v>
      </c>
    </row>
    <row r="326" spans="3:11" ht="12.75">
      <c r="C326" s="29" t="str">
        <f>Source!H141</f>
        <v>ШТ</v>
      </c>
      <c r="D326" s="5"/>
      <c r="E326" s="5">
        <f>Source!AF141</f>
        <v>0</v>
      </c>
      <c r="F326" s="5">
        <f>Source!AE141</f>
        <v>0</v>
      </c>
      <c r="G326" s="6"/>
      <c r="H326" s="6"/>
      <c r="I326" s="6">
        <f>Source!R141</f>
        <v>0</v>
      </c>
      <c r="J326" s="5">
        <f>Source!AI141</f>
        <v>0</v>
      </c>
      <c r="K326" s="6">
        <f>Source!V141</f>
        <v>0</v>
      </c>
    </row>
    <row r="329" spans="3:11" ht="12.75">
      <c r="C329" s="36" t="s">
        <v>581</v>
      </c>
      <c r="D329" s="66" t="str">
        <f>IF(Source!C12="1",Source!F143,Source!G143)</f>
        <v>Оборудование</v>
      </c>
      <c r="E329" s="66"/>
      <c r="F329" s="66"/>
      <c r="G329" s="66"/>
      <c r="H329" s="66"/>
      <c r="I329" s="66"/>
      <c r="J329" s="66"/>
      <c r="K329" s="66"/>
    </row>
    <row r="331" spans="3:8" ht="12.75">
      <c r="C331" s="64" t="str">
        <f>Source!H145</f>
        <v>Прямые затраты</v>
      </c>
      <c r="D331" s="64"/>
      <c r="E331" s="64"/>
      <c r="F331" s="64"/>
      <c r="G331" s="7">
        <f>Source!F145</f>
        <v>15884.5</v>
      </c>
      <c r="H331" s="5"/>
    </row>
    <row r="333" spans="3:8" ht="12.75">
      <c r="C333" s="64" t="str">
        <f>Source!H146</f>
        <v>Стоимость материалов</v>
      </c>
      <c r="D333" s="64"/>
      <c r="E333" s="64"/>
      <c r="F333" s="64"/>
      <c r="G333" s="7">
        <f>Source!F146</f>
        <v>15884.5</v>
      </c>
      <c r="H333" s="5"/>
    </row>
    <row r="335" spans="3:8" ht="12.75">
      <c r="C335" s="64" t="str">
        <f>Source!H155</f>
        <v>Сметная прибыль</v>
      </c>
      <c r="D335" s="64"/>
      <c r="E335" s="64"/>
      <c r="F335" s="64"/>
      <c r="G335" s="7">
        <f>Source!F155</f>
        <v>0</v>
      </c>
      <c r="H335" s="5"/>
    </row>
    <row r="338" spans="3:11" ht="12.75">
      <c r="C338" s="36" t="s">
        <v>582</v>
      </c>
      <c r="D338" s="66" t="str">
        <f>IF(Source!C12="1",Source!F171,Source!G171)</f>
        <v>Котельная в с. Филипповка Мелекесского района</v>
      </c>
      <c r="E338" s="66"/>
      <c r="F338" s="66"/>
      <c r="G338" s="66"/>
      <c r="H338" s="66"/>
      <c r="I338" s="66"/>
      <c r="J338" s="66"/>
      <c r="K338" s="66"/>
    </row>
    <row r="340" spans="3:8" ht="12.75">
      <c r="C340" s="64" t="str">
        <f>Source!H173</f>
        <v>Прямые затраты</v>
      </c>
      <c r="D340" s="64"/>
      <c r="E340" s="64"/>
      <c r="F340" s="64"/>
      <c r="G340" s="7">
        <f>Source!F173</f>
        <v>37041.93</v>
      </c>
      <c r="H340" s="5"/>
    </row>
    <row r="342" spans="3:8" ht="12.75">
      <c r="C342" s="64" t="str">
        <f>Source!H174</f>
        <v>Стоимость материалов</v>
      </c>
      <c r="D342" s="64"/>
      <c r="E342" s="64"/>
      <c r="F342" s="64"/>
      <c r="G342" s="7">
        <f>Source!F174</f>
        <v>34723.83</v>
      </c>
      <c r="H342" s="5"/>
    </row>
    <row r="344" spans="3:8" ht="12.75">
      <c r="C344" s="64" t="str">
        <f>Source!H175</f>
        <v>Эксплуатация машин</v>
      </c>
      <c r="D344" s="64"/>
      <c r="E344" s="64"/>
      <c r="F344" s="64"/>
      <c r="G344" s="7">
        <f>Source!F175</f>
        <v>548.85</v>
      </c>
      <c r="H344" s="5"/>
    </row>
    <row r="346" spans="3:8" ht="12.75">
      <c r="C346" s="64" t="str">
        <f>Source!H176</f>
        <v>ЗП машинистов</v>
      </c>
      <c r="D346" s="64"/>
      <c r="E346" s="64"/>
      <c r="F346" s="64"/>
      <c r="G346" s="7">
        <f>Source!F176</f>
        <v>73.04</v>
      </c>
      <c r="H346" s="5"/>
    </row>
    <row r="348" spans="3:8" ht="12.75">
      <c r="C348" s="64" t="str">
        <f>Source!H177</f>
        <v>Основная ЗП рабочих</v>
      </c>
      <c r="D348" s="64"/>
      <c r="E348" s="64"/>
      <c r="F348" s="64"/>
      <c r="G348" s="7">
        <f>Source!F177</f>
        <v>1769.25</v>
      </c>
      <c r="H348" s="5"/>
    </row>
    <row r="350" spans="3:8" ht="12.75">
      <c r="C350" s="64" t="str">
        <f>Source!H179</f>
        <v>Трудозатраты строителей</v>
      </c>
      <c r="D350" s="64"/>
      <c r="E350" s="64"/>
      <c r="F350" s="64"/>
      <c r="G350" s="7">
        <f>Source!F179</f>
        <v>182.14</v>
      </c>
      <c r="H350" s="5"/>
    </row>
    <row r="352" spans="3:8" ht="12.75">
      <c r="C352" s="64" t="str">
        <f>Source!H180</f>
        <v>Трудозатраты машинистов</v>
      </c>
      <c r="D352" s="64"/>
      <c r="E352" s="64"/>
      <c r="F352" s="64"/>
      <c r="G352" s="7">
        <f>Source!F180</f>
        <v>5.47</v>
      </c>
      <c r="H352" s="5"/>
    </row>
    <row r="354" spans="3:8" ht="12.75">
      <c r="C354" s="64" t="str">
        <f>Source!H182</f>
        <v>Накладные расходы</v>
      </c>
      <c r="D354" s="64"/>
      <c r="E354" s="64"/>
      <c r="F354" s="64"/>
      <c r="G354" s="7">
        <f>Source!F182</f>
        <v>1596.49</v>
      </c>
      <c r="H354" s="5"/>
    </row>
    <row r="356" spans="3:8" ht="12.75">
      <c r="C356" s="64" t="str">
        <f>Source!H183</f>
        <v>Сметная прибыль</v>
      </c>
      <c r="D356" s="64"/>
      <c r="E356" s="64"/>
      <c r="F356" s="64"/>
      <c r="G356" s="7">
        <f>Source!F183</f>
        <v>1146.26</v>
      </c>
      <c r="H356" s="5"/>
    </row>
    <row r="358" spans="3:8" ht="12.75">
      <c r="C358" s="64" t="str">
        <f>Source!H184</f>
        <v>Индекс к материалам</v>
      </c>
      <c r="D358" s="64"/>
      <c r="E358" s="64"/>
      <c r="F358" s="64"/>
      <c r="G358" s="7">
        <f>Source!F184</f>
        <v>3.04</v>
      </c>
      <c r="H358" s="5"/>
    </row>
    <row r="360" spans="3:8" ht="12.75">
      <c r="C360" s="64" t="str">
        <f>Source!H185</f>
        <v>Индекс к эксплуатации машин и механизмов</v>
      </c>
      <c r="D360" s="64"/>
      <c r="E360" s="64"/>
      <c r="F360" s="64"/>
      <c r="G360" s="7">
        <f>Source!F185</f>
        <v>2.6</v>
      </c>
      <c r="H360" s="5"/>
    </row>
    <row r="362" spans="3:8" ht="12.75">
      <c r="C362" s="64" t="str">
        <f>Source!H186</f>
        <v>Индекс к основной заработной плате</v>
      </c>
      <c r="D362" s="64"/>
      <c r="E362" s="64"/>
      <c r="F362" s="64"/>
      <c r="G362" s="7">
        <f>Source!F186</f>
        <v>4.36</v>
      </c>
      <c r="H362" s="5"/>
    </row>
    <row r="364" spans="3:8" ht="12.75">
      <c r="C364" s="64" t="str">
        <f>Source!H188</f>
        <v>Прямые затраты с учетом индекса, руб.</v>
      </c>
      <c r="D364" s="64"/>
      <c r="E364" s="64"/>
      <c r="F364" s="64"/>
      <c r="G364" s="7">
        <f>Source!F188</f>
        <v>130957.69</v>
      </c>
      <c r="H364" s="5"/>
    </row>
    <row r="366" spans="3:8" ht="12.75">
      <c r="C366" s="64" t="str">
        <f>Source!H189</f>
        <v>Стоимость материалов с учетом индекса, руб.</v>
      </c>
      <c r="D366" s="64"/>
      <c r="E366" s="64"/>
      <c r="F366" s="64"/>
      <c r="G366" s="7">
        <f>Source!F189</f>
        <v>105560.44</v>
      </c>
      <c r="H366" s="5"/>
    </row>
    <row r="368" spans="3:8" ht="12.75">
      <c r="C368" s="64" t="str">
        <f>Source!H190</f>
        <v>Транспорт материалов, загот.-склад. расходы, %</v>
      </c>
      <c r="D368" s="64"/>
      <c r="E368" s="64"/>
      <c r="F368" s="64"/>
      <c r="G368" s="7">
        <f>Source!F190</f>
        <v>15.4</v>
      </c>
      <c r="H368" s="5"/>
    </row>
    <row r="370" spans="3:12" ht="12.75">
      <c r="C370" s="64" t="str">
        <f>Source!H191</f>
        <v>Стоимость материалов с учетом транспорта, руб.</v>
      </c>
      <c r="D370" s="64"/>
      <c r="E370" s="64"/>
      <c r="F370" s="64"/>
      <c r="G370" s="7">
        <f>Source!F191</f>
        <v>121816.75</v>
      </c>
      <c r="H370" s="5"/>
      <c r="L370">
        <v>87012.02</v>
      </c>
    </row>
    <row r="371" ht="12.75">
      <c r="L371">
        <f>G370/L370*100</f>
        <v>139.9999103572127</v>
      </c>
    </row>
    <row r="372" spans="3:8" ht="12.75">
      <c r="C372" s="64" t="str">
        <f>Source!H192</f>
        <v>Эксплуатация машин с учетом индекса, руб.</v>
      </c>
      <c r="D372" s="64"/>
      <c r="E372" s="64"/>
      <c r="F372" s="64"/>
      <c r="G372" s="7">
        <f>Source!F192</f>
        <v>1427.01</v>
      </c>
      <c r="H372" s="5"/>
    </row>
    <row r="374" spans="3:8" ht="12.75">
      <c r="C374" s="64" t="str">
        <f>Source!H193</f>
        <v>Зарплата машинистов с учетом индекса, руб.</v>
      </c>
      <c r="D374" s="64"/>
      <c r="E374" s="64"/>
      <c r="F374" s="64"/>
      <c r="G374" s="7">
        <f>Source!F193</f>
        <v>189.9</v>
      </c>
      <c r="H374" s="5"/>
    </row>
    <row r="376" spans="3:8" ht="12.75">
      <c r="C376" s="64" t="str">
        <f>Source!H194</f>
        <v>Основная зарплата рабочих с учетом индекса, руб.</v>
      </c>
      <c r="D376" s="64"/>
      <c r="E376" s="64"/>
      <c r="F376" s="64"/>
      <c r="G376" s="7">
        <f>Source!F194</f>
        <v>7713.93</v>
      </c>
      <c r="H376" s="5"/>
    </row>
    <row r="378" spans="3:8" ht="12.75">
      <c r="C378" s="64" t="str">
        <f>Source!H195</f>
        <v>Накладные расходы с учетом индекса, руб.</v>
      </c>
      <c r="D378" s="64"/>
      <c r="E378" s="64"/>
      <c r="F378" s="64"/>
      <c r="G378" s="7">
        <f>Source!F195</f>
        <v>6849.29</v>
      </c>
      <c r="H378" s="5"/>
    </row>
    <row r="380" spans="3:8" ht="12.75">
      <c r="C380" s="64" t="str">
        <f>Source!H196</f>
        <v>Сметная прибыль с учетом индекса, руб.</v>
      </c>
      <c r="D380" s="64"/>
      <c r="E380" s="64"/>
      <c r="F380" s="64"/>
      <c r="G380" s="7">
        <f>Source!F196</f>
        <v>4917.71</v>
      </c>
      <c r="H380" s="5"/>
    </row>
    <row r="382" spans="3:8" ht="12.75">
      <c r="C382" s="64" t="str">
        <f>Source!H197</f>
        <v>Итого в текущих ценах</v>
      </c>
      <c r="D382" s="64"/>
      <c r="E382" s="64"/>
      <c r="F382" s="64"/>
      <c r="G382" s="7">
        <f>Source!F197</f>
        <v>142724.69</v>
      </c>
      <c r="H382" s="5"/>
    </row>
    <row r="384" spans="3:8" ht="12.75">
      <c r="C384" s="64" t="str">
        <f>Source!H198</f>
        <v>Временные здания и сооружения 3,1% от СМР (ГСН81-05-01-2001)</v>
      </c>
      <c r="D384" s="64"/>
      <c r="E384" s="64"/>
      <c r="F384" s="64"/>
      <c r="G384" s="7">
        <f>Source!F198</f>
        <v>2927.51</v>
      </c>
      <c r="H384" s="5"/>
    </row>
    <row r="386" spans="3:8" ht="12.75">
      <c r="C386" s="64" t="str">
        <f>Source!H199</f>
        <v>Зимнее удорожание 2,2% от СМР (ГСН81-05-02-2001)</v>
      </c>
      <c r="D386" s="64"/>
      <c r="E386" s="64"/>
      <c r="F386" s="64"/>
      <c r="G386" s="7">
        <f>Source!F199</f>
        <v>2077.59</v>
      </c>
      <c r="H386" s="5"/>
    </row>
    <row r="388" spans="3:8" ht="12.75">
      <c r="C388" s="64" t="str">
        <f>Source!H200</f>
        <v>Итого с временными и зимнем удорожанием</v>
      </c>
      <c r="D388" s="64"/>
      <c r="E388" s="64"/>
      <c r="F388" s="64"/>
      <c r="G388" s="7">
        <f>Source!F200</f>
        <v>147729.79</v>
      </c>
      <c r="H388" s="5"/>
    </row>
    <row r="390" spans="3:8" ht="12.75">
      <c r="C390" s="64" t="str">
        <f>Source!H201</f>
        <v>Непредвиденные расходы 1%  (МДС81-35.20-04)</v>
      </c>
      <c r="D390" s="64"/>
      <c r="E390" s="64"/>
      <c r="F390" s="64"/>
      <c r="G390" s="7">
        <f>Source!F201</f>
        <v>1477.3</v>
      </c>
      <c r="H390" s="5"/>
    </row>
    <row r="392" spans="3:8" ht="12.75">
      <c r="C392" s="64" t="str">
        <f>Source!H202</f>
        <v>ИТОГО ПО СМЕТЕ, руб.</v>
      </c>
      <c r="D392" s="64"/>
      <c r="E392" s="64"/>
      <c r="F392" s="64"/>
      <c r="G392" s="7">
        <f>Source!F202</f>
        <v>149207.09</v>
      </c>
      <c r="H392" s="5"/>
    </row>
    <row r="394" spans="3:8" ht="12.75">
      <c r="C394" s="64" t="str">
        <f>Source!H203</f>
        <v>НДС, %</v>
      </c>
      <c r="D394" s="64"/>
      <c r="E394" s="64"/>
      <c r="F394" s="64"/>
      <c r="G394" s="7">
        <f>Source!F203</f>
        <v>18</v>
      </c>
      <c r="H394" s="5"/>
    </row>
    <row r="396" spans="3:8" ht="12.75">
      <c r="C396" s="64" t="str">
        <f>Source!H204</f>
        <v>Сумма НДС, руб.</v>
      </c>
      <c r="D396" s="64"/>
      <c r="E396" s="64"/>
      <c r="F396" s="64"/>
      <c r="G396" s="7">
        <f>Source!F204</f>
        <v>26857.28</v>
      </c>
      <c r="H396" s="5"/>
    </row>
    <row r="398" spans="3:8" ht="12.75">
      <c r="C398" s="64" t="str">
        <f>Source!H205</f>
        <v>Итого с НДС, руб.</v>
      </c>
      <c r="D398" s="64"/>
      <c r="E398" s="64"/>
      <c r="F398" s="64"/>
      <c r="G398" s="7">
        <f>Source!F205</f>
        <v>176064.37</v>
      </c>
      <c r="H398" s="5"/>
    </row>
    <row r="400" spans="1:6" s="56" customFormat="1" ht="12.75">
      <c r="A400" s="56" t="s">
        <v>592</v>
      </c>
      <c r="C400" s="57" t="s">
        <v>593</v>
      </c>
      <c r="D400" s="57"/>
      <c r="E400" s="57"/>
      <c r="F400" s="56" t="s">
        <v>594</v>
      </c>
    </row>
    <row r="401" spans="3:5" s="58" customFormat="1" ht="11.25">
      <c r="C401" s="63" t="s">
        <v>595</v>
      </c>
      <c r="D401" s="63"/>
      <c r="E401" s="63"/>
    </row>
    <row r="403" spans="1:6" s="56" customFormat="1" ht="12.75">
      <c r="A403" s="56" t="s">
        <v>596</v>
      </c>
      <c r="C403" s="41" t="s">
        <v>597</v>
      </c>
      <c r="D403" s="57"/>
      <c r="E403" s="57"/>
      <c r="F403" s="56" t="s">
        <v>598</v>
      </c>
    </row>
    <row r="404" spans="3:5" s="58" customFormat="1" ht="11.25">
      <c r="C404" s="63" t="s">
        <v>595</v>
      </c>
      <c r="D404" s="63"/>
      <c r="E404" s="63"/>
    </row>
    <row r="406" spans="3:6" s="56" customFormat="1" ht="12.75">
      <c r="C406" s="41" t="s">
        <v>599</v>
      </c>
      <c r="F406" s="59" t="s">
        <v>600</v>
      </c>
    </row>
    <row r="407" spans="3:5" s="58" customFormat="1" ht="11.25">
      <c r="C407" s="63" t="s">
        <v>595</v>
      </c>
      <c r="D407" s="63"/>
      <c r="E407" s="63"/>
    </row>
  </sheetData>
  <mergeCells count="80">
    <mergeCell ref="H1:I1"/>
    <mergeCell ref="H4:K4"/>
    <mergeCell ref="A11:K11"/>
    <mergeCell ref="D8:K8"/>
    <mergeCell ref="A12:K12"/>
    <mergeCell ref="C16:K16"/>
    <mergeCell ref="D26:K26"/>
    <mergeCell ref="D14:K14"/>
    <mergeCell ref="D29:K29"/>
    <mergeCell ref="D167:K167"/>
    <mergeCell ref="C169:F169"/>
    <mergeCell ref="C171:F171"/>
    <mergeCell ref="C173:F173"/>
    <mergeCell ref="C175:F175"/>
    <mergeCell ref="C177:F177"/>
    <mergeCell ref="C179:F179"/>
    <mergeCell ref="C181:F181"/>
    <mergeCell ref="C183:F183"/>
    <mergeCell ref="C185:F185"/>
    <mergeCell ref="D188:K188"/>
    <mergeCell ref="D234:K234"/>
    <mergeCell ref="C236:F236"/>
    <mergeCell ref="C238:F238"/>
    <mergeCell ref="C240:F240"/>
    <mergeCell ref="C242:F242"/>
    <mergeCell ref="C244:F244"/>
    <mergeCell ref="C246:F246"/>
    <mergeCell ref="C248:F248"/>
    <mergeCell ref="C250:F250"/>
    <mergeCell ref="C252:F252"/>
    <mergeCell ref="D255:K255"/>
    <mergeCell ref="D292:K292"/>
    <mergeCell ref="C294:F294"/>
    <mergeCell ref="C296:F296"/>
    <mergeCell ref="C298:F298"/>
    <mergeCell ref="C300:F300"/>
    <mergeCell ref="C302:F302"/>
    <mergeCell ref="C304:F304"/>
    <mergeCell ref="C306:F306"/>
    <mergeCell ref="C308:F308"/>
    <mergeCell ref="C310:F310"/>
    <mergeCell ref="D313:K313"/>
    <mergeCell ref="D338:K338"/>
    <mergeCell ref="C340:F340"/>
    <mergeCell ref="D329:K329"/>
    <mergeCell ref="C331:F331"/>
    <mergeCell ref="C333:F333"/>
    <mergeCell ref="C335:F335"/>
    <mergeCell ref="C342:F342"/>
    <mergeCell ref="C344:F344"/>
    <mergeCell ref="C346:F346"/>
    <mergeCell ref="C348:F348"/>
    <mergeCell ref="C350:F350"/>
    <mergeCell ref="C352:F352"/>
    <mergeCell ref="C354:F354"/>
    <mergeCell ref="C356:F356"/>
    <mergeCell ref="C358:F358"/>
    <mergeCell ref="C360:F360"/>
    <mergeCell ref="C362:F362"/>
    <mergeCell ref="C364:F364"/>
    <mergeCell ref="C366:F366"/>
    <mergeCell ref="C368:F368"/>
    <mergeCell ref="C370:F370"/>
    <mergeCell ref="C372:F372"/>
    <mergeCell ref="C374:F374"/>
    <mergeCell ref="C376:F376"/>
    <mergeCell ref="C378:F378"/>
    <mergeCell ref="C380:F380"/>
    <mergeCell ref="C382:F382"/>
    <mergeCell ref="C384:F384"/>
    <mergeCell ref="C386:F386"/>
    <mergeCell ref="C388:F388"/>
    <mergeCell ref="C390:F390"/>
    <mergeCell ref="C392:F392"/>
    <mergeCell ref="C394:F394"/>
    <mergeCell ref="C396:F396"/>
    <mergeCell ref="C401:E401"/>
    <mergeCell ref="C404:E404"/>
    <mergeCell ref="C407:E407"/>
    <mergeCell ref="C398:F398"/>
  </mergeCells>
  <printOptions/>
  <pageMargins left="0.63" right="0.42" top="0.36" bottom="0.36" header="0.2" footer="0.19"/>
  <pageSetup fitToHeight="0" fitToWidth="1" horizontalDpi="600" verticalDpi="600" orientation="portrait" paperSize="9" scale="80" r:id="rId1"/>
  <headerFooter alignWithMargins="0">
    <oddHeader>&amp;L&amp;8ЗАО "Промсервис"  Доп. раб. место  FStS-0019551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72"/>
  <sheetViews>
    <sheetView showZeros="0" tabSelected="1" view="pageBreakPreview" zoomScaleNormal="115" zoomScaleSheetLayoutView="100" workbookViewId="0" topLeftCell="A1">
      <selection activeCell="A26" sqref="A26"/>
    </sheetView>
  </sheetViews>
  <sheetFormatPr defaultColWidth="9.140625" defaultRowHeight="12.75"/>
  <cols>
    <col min="1" max="1" width="3.8515625" style="0" customWidth="1"/>
    <col min="2" max="2" width="12.140625" style="0" customWidth="1"/>
    <col min="3" max="3" width="48.7109375" style="0" customWidth="1"/>
    <col min="4" max="4" width="8.421875" style="0" customWidth="1"/>
    <col min="7" max="7" width="9.421875" style="0" bestFit="1" customWidth="1"/>
    <col min="9" max="9" width="8.421875" style="0" customWidth="1"/>
    <col min="10" max="11" width="8.140625" style="0" customWidth="1"/>
  </cols>
  <sheetData>
    <row r="1" spans="2:12" ht="15">
      <c r="B1" s="75" t="s">
        <v>607</v>
      </c>
      <c r="C1" s="75"/>
      <c r="D1" s="76"/>
      <c r="E1" s="74"/>
      <c r="F1" s="85" t="s">
        <v>585</v>
      </c>
      <c r="G1" s="86"/>
      <c r="H1" s="86"/>
      <c r="I1" s="86"/>
      <c r="J1" s="77"/>
      <c r="L1" s="41"/>
    </row>
    <row r="2" spans="2:12" ht="15" customHeight="1">
      <c r="B2" s="75" t="s">
        <v>608</v>
      </c>
      <c r="C2" s="75"/>
      <c r="D2" s="76"/>
      <c r="E2" s="74"/>
      <c r="F2" s="82" t="s">
        <v>609</v>
      </c>
      <c r="G2" s="82"/>
      <c r="H2" s="82"/>
      <c r="I2" s="82"/>
      <c r="J2" s="78"/>
      <c r="L2" s="41"/>
    </row>
    <row r="3" spans="2:12" ht="15" customHeight="1">
      <c r="B3" s="75" t="s">
        <v>610</v>
      </c>
      <c r="C3" s="75"/>
      <c r="D3" s="76"/>
      <c r="E3" s="74"/>
      <c r="F3" s="82" t="s">
        <v>611</v>
      </c>
      <c r="G3" s="82"/>
      <c r="H3" s="82"/>
      <c r="I3" s="82"/>
      <c r="J3" s="78"/>
      <c r="L3" s="41"/>
    </row>
    <row r="4" spans="2:12" ht="15">
      <c r="B4" s="75" t="s">
        <v>612</v>
      </c>
      <c r="C4" s="75"/>
      <c r="D4" s="76"/>
      <c r="E4" s="74"/>
      <c r="F4" s="78"/>
      <c r="G4" s="74"/>
      <c r="H4" s="43"/>
      <c r="I4" s="79"/>
      <c r="J4" s="79"/>
      <c r="L4" s="41"/>
    </row>
    <row r="5" spans="2:12" ht="14.25">
      <c r="B5" s="39"/>
      <c r="C5" s="62"/>
      <c r="F5" s="80"/>
      <c r="H5" s="40"/>
      <c r="I5" s="40"/>
      <c r="J5" s="40"/>
      <c r="K5" s="40"/>
      <c r="L5" s="41"/>
    </row>
    <row r="6" spans="2:12" ht="14.25">
      <c r="B6" s="39"/>
      <c r="C6" s="62"/>
      <c r="F6" s="81"/>
      <c r="G6" s="81"/>
      <c r="H6" s="81"/>
      <c r="I6" s="52"/>
      <c r="J6" s="48"/>
      <c r="K6" s="45"/>
      <c r="L6" s="41"/>
    </row>
    <row r="7" spans="3:12" ht="18">
      <c r="C7" s="83" t="s">
        <v>613</v>
      </c>
      <c r="D7" s="83"/>
      <c r="E7" s="83"/>
      <c r="F7" s="83"/>
      <c r="G7" s="83"/>
      <c r="H7" s="83"/>
      <c r="I7" s="83"/>
      <c r="L7" s="41"/>
    </row>
    <row r="8" spans="2:12" ht="15">
      <c r="B8" s="84" t="s">
        <v>616</v>
      </c>
      <c r="C8" s="84"/>
      <c r="D8" s="84"/>
      <c r="E8" s="84"/>
      <c r="F8" s="84"/>
      <c r="G8" s="84"/>
      <c r="H8" s="84"/>
      <c r="I8" s="84"/>
      <c r="L8" s="41"/>
    </row>
    <row r="9" spans="3:12" ht="15">
      <c r="C9" s="84" t="s">
        <v>615</v>
      </c>
      <c r="D9" s="84"/>
      <c r="E9" s="84"/>
      <c r="F9" s="84"/>
      <c r="G9" s="84"/>
      <c r="H9" s="84"/>
      <c r="I9" s="84"/>
      <c r="L9" s="41"/>
    </row>
    <row r="10" spans="1:12" ht="12.75">
      <c r="A10" s="4"/>
      <c r="C10" s="64"/>
      <c r="D10" s="64"/>
      <c r="E10" s="64"/>
      <c r="F10" s="64"/>
      <c r="G10" s="64"/>
      <c r="H10" s="64"/>
      <c r="I10" s="64"/>
      <c r="J10" s="64"/>
      <c r="K10" s="64"/>
      <c r="L10" s="41"/>
    </row>
    <row r="11" spans="2:12" ht="14.25">
      <c r="B11" s="68"/>
      <c r="C11" s="69"/>
      <c r="E11" s="38"/>
      <c r="F11" s="49"/>
      <c r="G11" s="38"/>
      <c r="H11" s="50"/>
      <c r="I11" s="50"/>
      <c r="J11" s="50"/>
      <c r="K11" s="40"/>
      <c r="L11" s="41"/>
    </row>
    <row r="12" spans="5:13" ht="14.25">
      <c r="E12" s="38"/>
      <c r="F12" s="51"/>
      <c r="G12" s="51"/>
      <c r="H12" s="51"/>
      <c r="I12" s="52"/>
      <c r="J12" s="53"/>
      <c r="K12" s="47"/>
      <c r="L12" s="48"/>
      <c r="M12" s="48"/>
    </row>
    <row r="14" spans="1:4" ht="12.75">
      <c r="A14" s="4"/>
      <c r="C14" s="55"/>
      <c r="D14" s="6">
        <f>IF(AND('[1]Source'!P9&lt;&gt;0,'[1]Source'!Q9&lt;&gt;0),'[1]Source'!P9,IF('[1]Source'!AF9=0,"",'[1]Source'!AF9))</f>
      </c>
    </row>
    <row r="15" spans="1:11" ht="12.75">
      <c r="A15" t="s">
        <v>614</v>
      </c>
      <c r="G15" s="4" t="s">
        <v>551</v>
      </c>
      <c r="J15" s="7">
        <v>96678.26</v>
      </c>
      <c r="K15" s="5" t="s">
        <v>606</v>
      </c>
    </row>
    <row r="16" spans="1:11" ht="12.75">
      <c r="A16" s="8"/>
      <c r="B16" s="8"/>
      <c r="C16" s="8"/>
      <c r="D16" s="8"/>
      <c r="E16" s="14" t="s">
        <v>561</v>
      </c>
      <c r="F16" s="13"/>
      <c r="G16" s="14" t="s">
        <v>569</v>
      </c>
      <c r="H16" s="12"/>
      <c r="I16" s="13"/>
      <c r="J16" s="21" t="s">
        <v>570</v>
      </c>
      <c r="K16" s="18"/>
    </row>
    <row r="17" spans="1:11" ht="12.75">
      <c r="A17" s="11" t="s">
        <v>553</v>
      </c>
      <c r="B17" s="11" t="s">
        <v>555</v>
      </c>
      <c r="C17" s="11" t="s">
        <v>557</v>
      </c>
      <c r="D17" s="11" t="s">
        <v>559</v>
      </c>
      <c r="E17" s="16"/>
      <c r="F17" s="16" t="s">
        <v>565</v>
      </c>
      <c r="G17" s="8"/>
      <c r="H17" s="8"/>
      <c r="I17" s="16" t="s">
        <v>565</v>
      </c>
      <c r="J17" s="22" t="s">
        <v>571</v>
      </c>
      <c r="K17" s="19"/>
    </row>
    <row r="18" spans="1:11" ht="12.75">
      <c r="A18" s="11" t="s">
        <v>554</v>
      </c>
      <c r="B18" s="11" t="s">
        <v>556</v>
      </c>
      <c r="C18" s="11" t="s">
        <v>558</v>
      </c>
      <c r="D18" s="11" t="s">
        <v>560</v>
      </c>
      <c r="E18" s="17" t="s">
        <v>562</v>
      </c>
      <c r="F18" s="17" t="s">
        <v>566</v>
      </c>
      <c r="G18" s="11" t="s">
        <v>562</v>
      </c>
      <c r="H18" s="11" t="s">
        <v>564</v>
      </c>
      <c r="I18" s="17" t="s">
        <v>566</v>
      </c>
      <c r="J18" s="23" t="s">
        <v>572</v>
      </c>
      <c r="K18" s="20"/>
    </row>
    <row r="19" spans="1:11" ht="12.75">
      <c r="A19" s="9"/>
      <c r="B19" s="11" t="s">
        <v>583</v>
      </c>
      <c r="C19" s="9"/>
      <c r="D19" s="11"/>
      <c r="E19" s="16" t="s">
        <v>563</v>
      </c>
      <c r="F19" s="16" t="s">
        <v>567</v>
      </c>
      <c r="G19" s="11"/>
      <c r="H19" s="11"/>
      <c r="I19" s="16" t="s">
        <v>567</v>
      </c>
      <c r="J19" s="14" t="s">
        <v>573</v>
      </c>
      <c r="K19" s="24"/>
    </row>
    <row r="20" spans="1:11" ht="12.75">
      <c r="A20" s="10"/>
      <c r="B20" s="15" t="s">
        <v>584</v>
      </c>
      <c r="C20" s="10"/>
      <c r="D20" s="10"/>
      <c r="E20" s="17" t="s">
        <v>564</v>
      </c>
      <c r="F20" s="17" t="s">
        <v>568</v>
      </c>
      <c r="G20" s="10"/>
      <c r="H20" s="10"/>
      <c r="I20" s="17" t="s">
        <v>568</v>
      </c>
      <c r="J20" s="25" t="s">
        <v>574</v>
      </c>
      <c r="K20" s="25" t="s">
        <v>575</v>
      </c>
    </row>
    <row r="21" spans="1:11" ht="12.75">
      <c r="A21" s="25">
        <v>1</v>
      </c>
      <c r="B21" s="25">
        <v>2</v>
      </c>
      <c r="C21" s="25">
        <v>3</v>
      </c>
      <c r="D21" s="25">
        <v>4</v>
      </c>
      <c r="E21" s="25">
        <v>5</v>
      </c>
      <c r="F21" s="25">
        <v>6</v>
      </c>
      <c r="G21" s="25">
        <v>7</v>
      </c>
      <c r="H21" s="25">
        <v>8</v>
      </c>
      <c r="I21" s="25">
        <v>9</v>
      </c>
      <c r="J21" s="25">
        <v>10</v>
      </c>
      <c r="K21" s="25">
        <v>11</v>
      </c>
    </row>
    <row r="23" spans="3:11" ht="15.75">
      <c r="C23" s="26" t="s">
        <v>576</v>
      </c>
      <c r="D23" s="65" t="str">
        <f>IF(Source!C12="1",Source!F20,Source!G20)</f>
        <v>на Автоматику</v>
      </c>
      <c r="E23" s="65"/>
      <c r="F23" s="65"/>
      <c r="G23" s="65"/>
      <c r="H23" s="65"/>
      <c r="I23" s="65"/>
      <c r="J23" s="65"/>
      <c r="K23" s="65"/>
    </row>
    <row r="26" spans="3:11" ht="15.75">
      <c r="C26" s="26" t="s">
        <v>577</v>
      </c>
      <c r="D26" s="65" t="str">
        <f>IF(Source!C12="1",Source!F24,Source!G24)</f>
        <v>Монтажные работы</v>
      </c>
      <c r="E26" s="65"/>
      <c r="F26" s="65"/>
      <c r="G26" s="65"/>
      <c r="H26" s="65"/>
      <c r="I26" s="65"/>
      <c r="J26" s="65"/>
      <c r="K26" s="65"/>
    </row>
    <row r="28" spans="1:11" ht="12.75">
      <c r="A28" s="27" t="str">
        <f>Source!E28</f>
        <v>1</v>
      </c>
      <c r="B28" s="27" t="str">
        <f>Source!F28</f>
        <v>м11-06-001-1</v>
      </c>
      <c r="C28" s="28" t="str">
        <f>Source!G28</f>
        <v>Щит, масса, кг, до: 50</v>
      </c>
      <c r="D28" s="5">
        <f>Source!I28</f>
        <v>1</v>
      </c>
      <c r="E28" s="30">
        <f>Source!AB28</f>
        <v>183.388</v>
      </c>
      <c r="F28" s="30">
        <f>Source!AD28</f>
        <v>9.87</v>
      </c>
      <c r="G28" s="6">
        <f>Source!O28</f>
        <v>183.39</v>
      </c>
      <c r="H28" s="6">
        <f>Source!S28</f>
        <v>45.53</v>
      </c>
      <c r="I28" s="31">
        <f>Source!Q28</f>
        <v>9.87</v>
      </c>
      <c r="J28" s="30">
        <f>Source!AH28</f>
        <v>5.15</v>
      </c>
      <c r="K28" s="31">
        <f>Source!U28</f>
        <v>5.15</v>
      </c>
    </row>
    <row r="29" spans="3:11" ht="12.75">
      <c r="C29" s="29" t="str">
        <f>Source!H28</f>
        <v>шт.</v>
      </c>
      <c r="D29" s="5"/>
      <c r="E29" s="5">
        <f>Source!AF28</f>
        <v>45.53</v>
      </c>
      <c r="F29" s="5">
        <f>Source!AE28</f>
        <v>0.82</v>
      </c>
      <c r="G29" s="6"/>
      <c r="H29" s="6"/>
      <c r="I29" s="6">
        <f>Source!R28</f>
        <v>0.82</v>
      </c>
      <c r="J29" s="5">
        <f>Source!AI28</f>
        <v>0.07</v>
      </c>
      <c r="K29" s="6">
        <f>Source!V28</f>
        <v>0.07</v>
      </c>
    </row>
    <row r="30" spans="3:4" ht="12.75">
      <c r="C30" s="32" t="s">
        <v>578</v>
      </c>
      <c r="D30" s="33" t="str">
        <f>Source!BO28</f>
        <v>м11-06-001-1</v>
      </c>
    </row>
    <row r="31" spans="3:7" ht="12.75">
      <c r="C31" s="34" t="s">
        <v>579</v>
      </c>
      <c r="D31" s="4">
        <f>Source!AT28</f>
        <v>80</v>
      </c>
      <c r="E31" s="4"/>
      <c r="F31" s="4"/>
      <c r="G31" s="35">
        <f>Source!X28</f>
        <v>37.08</v>
      </c>
    </row>
    <row r="32" spans="3:7" ht="12.75">
      <c r="C32" s="34" t="s">
        <v>580</v>
      </c>
      <c r="D32" s="4">
        <f>Source!AU28</f>
        <v>60</v>
      </c>
      <c r="E32" s="4"/>
      <c r="F32" s="4"/>
      <c r="G32" s="35">
        <f>Source!Y28</f>
        <v>27.81</v>
      </c>
    </row>
    <row r="34" spans="1:11" ht="12.75">
      <c r="A34" s="27" t="str">
        <f>Source!E29</f>
        <v>2</v>
      </c>
      <c r="B34" s="27" t="str">
        <f>Source!F29</f>
        <v>м11-01-001-7</v>
      </c>
      <c r="C34" s="28" t="str">
        <f>Source!G29</f>
        <v>Конструкции, масса, кг, до: 40</v>
      </c>
      <c r="D34" s="5">
        <f>Source!I29</f>
        <v>1</v>
      </c>
      <c r="E34" s="30">
        <f>Source!AB29</f>
        <v>368.372</v>
      </c>
      <c r="F34" s="30">
        <f>Source!AD29</f>
        <v>29.21</v>
      </c>
      <c r="G34" s="6">
        <f>Source!O29</f>
        <v>368.37</v>
      </c>
      <c r="H34" s="6">
        <f>Source!S29</f>
        <v>22.3</v>
      </c>
      <c r="I34" s="31">
        <f>Source!Q29</f>
        <v>29.21</v>
      </c>
      <c r="J34" s="30">
        <f>Source!AH29</f>
        <v>2.25</v>
      </c>
      <c r="K34" s="31">
        <f>Source!U29</f>
        <v>2.25</v>
      </c>
    </row>
    <row r="35" spans="3:11" ht="12.75">
      <c r="C35" s="29" t="str">
        <f>Source!H29</f>
        <v>шт.</v>
      </c>
      <c r="D35" s="5"/>
      <c r="E35" s="5">
        <f>Source!AF29</f>
        <v>22.3</v>
      </c>
      <c r="F35" s="5">
        <f>Source!AE29</f>
        <v>7.19</v>
      </c>
      <c r="G35" s="6"/>
      <c r="H35" s="6"/>
      <c r="I35" s="6">
        <f>Source!R29</f>
        <v>7.19</v>
      </c>
      <c r="J35" s="5">
        <f>Source!AI29</f>
        <v>0.03</v>
      </c>
      <c r="K35" s="6">
        <f>Source!V29</f>
        <v>0.03</v>
      </c>
    </row>
    <row r="36" spans="3:4" ht="12.75">
      <c r="C36" s="32" t="s">
        <v>578</v>
      </c>
      <c r="D36" s="33" t="str">
        <f>Source!BO29</f>
        <v>м11-01-001-7</v>
      </c>
    </row>
    <row r="37" spans="3:7" ht="12.75">
      <c r="C37" s="34" t="s">
        <v>579</v>
      </c>
      <c r="D37" s="4">
        <f>Source!AT29</f>
        <v>80</v>
      </c>
      <c r="E37" s="4"/>
      <c r="F37" s="4"/>
      <c r="G37" s="35">
        <f>Source!X29</f>
        <v>23.59</v>
      </c>
    </row>
    <row r="38" spans="3:7" ht="12.75">
      <c r="C38" s="34" t="s">
        <v>580</v>
      </c>
      <c r="D38" s="4">
        <f>Source!AU29</f>
        <v>60</v>
      </c>
      <c r="E38" s="4"/>
      <c r="F38" s="4"/>
      <c r="G38" s="35">
        <f>Source!Y29</f>
        <v>17.69</v>
      </c>
    </row>
    <row r="40" spans="1:11" ht="12.75">
      <c r="A40" s="27" t="str">
        <f>Source!E30</f>
        <v>3</v>
      </c>
      <c r="B40" s="27" t="str">
        <f>Source!F30</f>
        <v>м11-01-001-8</v>
      </c>
      <c r="C40" s="28" t="str">
        <f>Source!G30</f>
        <v>Добавлять за каждые 10 кг свыше 40 кг</v>
      </c>
      <c r="D40" s="5">
        <f>Source!I30</f>
        <v>1</v>
      </c>
      <c r="E40" s="30">
        <f>Source!AB30</f>
        <v>106.26799999999999</v>
      </c>
      <c r="F40" s="30">
        <f>Source!AD30</f>
        <v>8.76</v>
      </c>
      <c r="G40" s="6">
        <f>Source!O30</f>
        <v>106.27</v>
      </c>
      <c r="H40" s="6">
        <f>Source!S30</f>
        <v>11.1</v>
      </c>
      <c r="I40" s="31">
        <f>Source!Q30</f>
        <v>8.76</v>
      </c>
      <c r="J40" s="30">
        <f>Source!AH30</f>
        <v>1.12</v>
      </c>
      <c r="K40" s="31">
        <f>Source!U30</f>
        <v>1.12</v>
      </c>
    </row>
    <row r="41" spans="3:11" ht="12.75">
      <c r="C41" s="29" t="str">
        <f>Source!H30</f>
        <v>10 кг</v>
      </c>
      <c r="D41" s="5"/>
      <c r="E41" s="5">
        <f>Source!AF30</f>
        <v>11.1</v>
      </c>
      <c r="F41" s="5">
        <f>Source!AE30</f>
        <v>2</v>
      </c>
      <c r="G41" s="6"/>
      <c r="H41" s="6"/>
      <c r="I41" s="6">
        <f>Source!R30</f>
        <v>2</v>
      </c>
      <c r="J41" s="5">
        <f>Source!AI30</f>
        <v>0.01</v>
      </c>
      <c r="K41" s="6">
        <f>Source!V30</f>
        <v>0.01</v>
      </c>
    </row>
    <row r="42" spans="3:4" ht="12.75">
      <c r="C42" s="32" t="s">
        <v>578</v>
      </c>
      <c r="D42" s="33" t="str">
        <f>Source!BO30</f>
        <v>м11-01-001-8</v>
      </c>
    </row>
    <row r="43" spans="3:7" ht="12.75">
      <c r="C43" s="34" t="s">
        <v>579</v>
      </c>
      <c r="D43" s="4">
        <f>Source!AT30</f>
        <v>80</v>
      </c>
      <c r="E43" s="4"/>
      <c r="F43" s="4"/>
      <c r="G43" s="35">
        <f>Source!X30</f>
        <v>10.48</v>
      </c>
    </row>
    <row r="44" spans="3:7" ht="12.75">
      <c r="C44" s="34" t="s">
        <v>580</v>
      </c>
      <c r="D44" s="4">
        <f>Source!AU30</f>
        <v>60</v>
      </c>
      <c r="E44" s="4"/>
      <c r="F44" s="4"/>
      <c r="G44" s="35">
        <f>Source!Y30</f>
        <v>7.86</v>
      </c>
    </row>
    <row r="46" spans="1:11" ht="12.75">
      <c r="A46" s="27" t="str">
        <f>Source!E31</f>
        <v>3,1</v>
      </c>
      <c r="B46" s="27">
        <f>Source!F31</f>
        <v>0</v>
      </c>
      <c r="C46" s="28" t="str">
        <f>Source!G31</f>
        <v>Зажим наборный</v>
      </c>
      <c r="D46" s="5">
        <f>Source!I31</f>
        <v>0.03</v>
      </c>
      <c r="E46" s="30">
        <f>Source!AB31</f>
        <v>6963.879999999999</v>
      </c>
      <c r="F46" s="30">
        <f>Source!AD31</f>
        <v>0</v>
      </c>
      <c r="G46" s="6">
        <f>Source!O31</f>
        <v>208.92</v>
      </c>
      <c r="H46" s="6">
        <f>Source!S31</f>
        <v>0</v>
      </c>
      <c r="I46" s="31">
        <f>Source!Q31</f>
        <v>0</v>
      </c>
      <c r="J46" s="30">
        <f>Source!AH31</f>
        <v>0</v>
      </c>
      <c r="K46" s="31">
        <f>Source!U31</f>
        <v>0</v>
      </c>
    </row>
    <row r="47" spans="3:11" ht="12.75">
      <c r="C47" s="29" t="str">
        <f>Source!H31</f>
        <v>1000ШТ</v>
      </c>
      <c r="D47" s="5"/>
      <c r="E47" s="5">
        <f>Source!AF31</f>
        <v>0</v>
      </c>
      <c r="F47" s="5">
        <f>Source!AE31</f>
        <v>0</v>
      </c>
      <c r="G47" s="6"/>
      <c r="H47" s="6"/>
      <c r="I47" s="6">
        <f>Source!R31</f>
        <v>0</v>
      </c>
      <c r="J47" s="5">
        <f>Source!AI31</f>
        <v>0</v>
      </c>
      <c r="K47" s="6">
        <f>Source!V31</f>
        <v>0</v>
      </c>
    </row>
    <row r="48" spans="1:11" ht="12.75">
      <c r="A48" s="27" t="str">
        <f>Source!E32</f>
        <v>3,2</v>
      </c>
      <c r="B48" s="27">
        <f>Source!F32</f>
        <v>0</v>
      </c>
      <c r="C48" s="28" t="str">
        <f>Source!G32</f>
        <v>Ящик навесной</v>
      </c>
      <c r="D48" s="5">
        <f>Source!I32</f>
        <v>1</v>
      </c>
      <c r="E48" s="30">
        <f>Source!AB32</f>
        <v>107.23999999999998</v>
      </c>
      <c r="F48" s="30">
        <f>Source!AD32</f>
        <v>0</v>
      </c>
      <c r="G48" s="6">
        <f>Source!O32</f>
        <v>107.24</v>
      </c>
      <c r="H48" s="6">
        <f>Source!S32</f>
        <v>0</v>
      </c>
      <c r="I48" s="31">
        <f>Source!Q32</f>
        <v>0</v>
      </c>
      <c r="J48" s="30">
        <f>Source!AH32</f>
        <v>0</v>
      </c>
      <c r="K48" s="31">
        <f>Source!U32</f>
        <v>0</v>
      </c>
    </row>
    <row r="49" spans="3:11" ht="12.75">
      <c r="C49" s="29" t="str">
        <f>Source!H32</f>
        <v>шт.</v>
      </c>
      <c r="D49" s="5"/>
      <c r="E49" s="5">
        <f>Source!AF32</f>
        <v>0</v>
      </c>
      <c r="F49" s="5">
        <f>Source!AE32</f>
        <v>0</v>
      </c>
      <c r="G49" s="6"/>
      <c r="H49" s="6"/>
      <c r="I49" s="6">
        <f>Source!R32</f>
        <v>0</v>
      </c>
      <c r="J49" s="5">
        <f>Source!AI32</f>
        <v>0</v>
      </c>
      <c r="K49" s="6">
        <f>Source!V32</f>
        <v>0</v>
      </c>
    </row>
    <row r="50" spans="3:4" ht="12.75">
      <c r="C50" s="32" t="s">
        <v>578</v>
      </c>
      <c r="D50" s="33" t="str">
        <f>Source!BO32</f>
        <v>500-9398</v>
      </c>
    </row>
    <row r="51" spans="1:11" ht="12.75">
      <c r="A51" s="27" t="str">
        <f>Source!E33</f>
        <v>3,3</v>
      </c>
      <c r="B51" s="27">
        <f>Source!F33</f>
      </c>
      <c r="C51" s="28" t="str">
        <f>Source!G33</f>
        <v>мостик М3Н1.У2</v>
      </c>
      <c r="D51" s="5">
        <f>Source!I33</f>
        <v>1</v>
      </c>
      <c r="E51" s="30">
        <f>Source!AB33</f>
        <v>40.964</v>
      </c>
      <c r="F51" s="30">
        <f>Source!AD33</f>
        <v>0</v>
      </c>
      <c r="G51" s="6">
        <f>Source!O33</f>
        <v>40.96</v>
      </c>
      <c r="H51" s="6">
        <f>Source!S33</f>
        <v>0</v>
      </c>
      <c r="I51" s="31">
        <f>Source!Q33</f>
        <v>0</v>
      </c>
      <c r="J51" s="30">
        <f>Source!AH33</f>
        <v>0</v>
      </c>
      <c r="K51" s="31">
        <f>Source!U33</f>
        <v>0</v>
      </c>
    </row>
    <row r="52" spans="3:11" ht="12.75">
      <c r="C52" s="29" t="str">
        <f>Source!H33</f>
        <v>ШТ</v>
      </c>
      <c r="D52" s="5"/>
      <c r="E52" s="5">
        <f>Source!AF33</f>
        <v>0</v>
      </c>
      <c r="F52" s="5">
        <f>Source!AE33</f>
        <v>0</v>
      </c>
      <c r="G52" s="6"/>
      <c r="H52" s="6"/>
      <c r="I52" s="6">
        <f>Source!R33</f>
        <v>0</v>
      </c>
      <c r="J52" s="5">
        <f>Source!AI33</f>
        <v>0</v>
      </c>
      <c r="K52" s="6">
        <f>Source!V33</f>
        <v>0</v>
      </c>
    </row>
    <row r="53" spans="1:11" ht="12.75">
      <c r="A53" s="27" t="str">
        <f>Source!E34</f>
        <v>3,4</v>
      </c>
      <c r="B53" s="27">
        <f>Source!F34</f>
      </c>
      <c r="C53" s="28" t="str">
        <f>Source!G34</f>
        <v>Колодка маркировочная</v>
      </c>
      <c r="D53" s="5">
        <f>Source!I34</f>
        <v>0.002</v>
      </c>
      <c r="E53" s="30">
        <f>Source!AB34</f>
        <v>930.9999999999999</v>
      </c>
      <c r="F53" s="30">
        <f>Source!AD34</f>
        <v>0</v>
      </c>
      <c r="G53" s="6">
        <f>Source!O34</f>
        <v>1.86</v>
      </c>
      <c r="H53" s="6">
        <f>Source!S34</f>
        <v>0</v>
      </c>
      <c r="I53" s="31">
        <f>Source!Q34</f>
        <v>0</v>
      </c>
      <c r="J53" s="30">
        <f>Source!AH34</f>
        <v>0</v>
      </c>
      <c r="K53" s="31">
        <f>Source!U34</f>
        <v>0</v>
      </c>
    </row>
    <row r="54" spans="3:11" ht="12.75">
      <c r="C54" s="29" t="str">
        <f>Source!H34</f>
        <v>1000ШТ</v>
      </c>
      <c r="D54" s="5"/>
      <c r="E54" s="5">
        <f>Source!AF34</f>
        <v>0</v>
      </c>
      <c r="F54" s="5">
        <f>Source!AE34</f>
        <v>0</v>
      </c>
      <c r="G54" s="6"/>
      <c r="H54" s="6"/>
      <c r="I54" s="6">
        <f>Source!R34</f>
        <v>0</v>
      </c>
      <c r="J54" s="5">
        <f>Source!AI34</f>
        <v>0</v>
      </c>
      <c r="K54" s="6">
        <f>Source!V34</f>
        <v>0</v>
      </c>
    </row>
    <row r="55" spans="1:11" ht="12.75">
      <c r="A55" s="27" t="str">
        <f>Source!E35</f>
        <v>3,5</v>
      </c>
      <c r="B55" s="27">
        <f>Source!F35</f>
      </c>
      <c r="C55" s="28" t="str">
        <f>Source!G35</f>
        <v>Рейка</v>
      </c>
      <c r="D55" s="5">
        <f>Source!I35</f>
        <v>1</v>
      </c>
      <c r="E55" s="30">
        <f>Source!AB35</f>
        <v>5.586</v>
      </c>
      <c r="F55" s="30">
        <f>Source!AD35</f>
        <v>0</v>
      </c>
      <c r="G55" s="6">
        <f>Source!O35</f>
        <v>5.59</v>
      </c>
      <c r="H55" s="6">
        <f>Source!S35</f>
        <v>0</v>
      </c>
      <c r="I55" s="31">
        <f>Source!Q35</f>
        <v>0</v>
      </c>
      <c r="J55" s="30">
        <f>Source!AH35</f>
        <v>0</v>
      </c>
      <c r="K55" s="31">
        <f>Source!U35</f>
        <v>0</v>
      </c>
    </row>
    <row r="56" spans="3:11" ht="12.75">
      <c r="C56" s="29" t="str">
        <f>Source!H35</f>
        <v>ШТ</v>
      </c>
      <c r="D56" s="5"/>
      <c r="E56" s="5">
        <f>Source!AF35</f>
        <v>0</v>
      </c>
      <c r="F56" s="5">
        <f>Source!AE35</f>
        <v>0</v>
      </c>
      <c r="G56" s="6"/>
      <c r="H56" s="6"/>
      <c r="I56" s="6">
        <f>Source!R35</f>
        <v>0</v>
      </c>
      <c r="J56" s="5">
        <f>Source!AI35</f>
        <v>0</v>
      </c>
      <c r="K56" s="6">
        <f>Source!V35</f>
        <v>0</v>
      </c>
    </row>
    <row r="57" spans="1:11" ht="12.75">
      <c r="A57" s="27" t="str">
        <f>Source!E36</f>
        <v>4</v>
      </c>
      <c r="B57" s="27" t="str">
        <f>Source!F36</f>
        <v>м11-02-001-1</v>
      </c>
      <c r="C57" s="28" t="str">
        <f>Source!G36</f>
        <v>Прибор, масса, кг, до: 1,5</v>
      </c>
      <c r="D57" s="5">
        <f>Source!I36</f>
        <v>17</v>
      </c>
      <c r="E57" s="30">
        <f>Source!AB36</f>
        <v>11.904</v>
      </c>
      <c r="F57" s="30">
        <f>Source!AD36</f>
        <v>0</v>
      </c>
      <c r="G57" s="6">
        <f>Source!O36</f>
        <v>202.37</v>
      </c>
      <c r="H57" s="6">
        <f>Source!S36</f>
        <v>173.57</v>
      </c>
      <c r="I57" s="31">
        <f>Source!Q36</f>
        <v>0</v>
      </c>
      <c r="J57" s="30">
        <f>Source!AH36</f>
        <v>1.03</v>
      </c>
      <c r="K57" s="31">
        <f>Source!U36</f>
        <v>17.51</v>
      </c>
    </row>
    <row r="58" spans="3:11" ht="12.75">
      <c r="C58" s="29" t="str">
        <f>Source!H36</f>
        <v>шт.</v>
      </c>
      <c r="D58" s="5"/>
      <c r="E58" s="5">
        <f>Source!AF36</f>
        <v>10.21</v>
      </c>
      <c r="F58" s="5">
        <f>Source!AE36</f>
        <v>0</v>
      </c>
      <c r="G58" s="6"/>
      <c r="H58" s="6"/>
      <c r="I58" s="6">
        <f>Source!R36</f>
        <v>0</v>
      </c>
      <c r="J58" s="5">
        <f>Source!AI36</f>
        <v>0</v>
      </c>
      <c r="K58" s="6">
        <f>Source!V36</f>
        <v>0</v>
      </c>
    </row>
    <row r="59" spans="3:4" ht="12.75">
      <c r="C59" s="32" t="s">
        <v>578</v>
      </c>
      <c r="D59" s="33" t="str">
        <f>Source!BO36</f>
        <v>м11-02-001-1</v>
      </c>
    </row>
    <row r="60" spans="3:7" ht="12.75">
      <c r="C60" s="34" t="s">
        <v>579</v>
      </c>
      <c r="D60" s="4">
        <f>Source!AT36</f>
        <v>80</v>
      </c>
      <c r="E60" s="4"/>
      <c r="F60" s="4"/>
      <c r="G60" s="35">
        <f>Source!X36</f>
        <v>138.86</v>
      </c>
    </row>
    <row r="61" spans="3:7" ht="12.75">
      <c r="C61" s="34" t="s">
        <v>580</v>
      </c>
      <c r="D61" s="4">
        <f>Source!AU36</f>
        <v>60</v>
      </c>
      <c r="E61" s="4"/>
      <c r="F61" s="4"/>
      <c r="G61" s="35">
        <f>Source!Y36</f>
        <v>104.14</v>
      </c>
    </row>
    <row r="63" spans="1:11" ht="12.75">
      <c r="A63" s="27" t="str">
        <f>Source!E37</f>
        <v>5</v>
      </c>
      <c r="B63" s="27" t="str">
        <f>Source!F37</f>
        <v>м11-03-011-2</v>
      </c>
      <c r="C63" s="28" t="str">
        <f>Source!G37</f>
        <v>Прибор, категория сложности: II</v>
      </c>
      <c r="D63" s="5">
        <f>Source!I37</f>
        <v>3</v>
      </c>
      <c r="E63" s="30">
        <f>Source!AB37</f>
        <v>157.764</v>
      </c>
      <c r="F63" s="30">
        <f>Source!AD37</f>
        <v>43.07</v>
      </c>
      <c r="G63" s="6">
        <f>Source!O37</f>
        <v>473.29</v>
      </c>
      <c r="H63" s="6">
        <f>Source!S37</f>
        <v>266.97</v>
      </c>
      <c r="I63" s="31">
        <f>Source!Q37</f>
        <v>129.21</v>
      </c>
      <c r="J63" s="30">
        <f>Source!AH37</f>
        <v>8.98</v>
      </c>
      <c r="K63" s="31">
        <f>Source!U37</f>
        <v>26.94</v>
      </c>
    </row>
    <row r="64" spans="3:11" ht="12.75">
      <c r="C64" s="29" t="str">
        <f>Source!H37</f>
        <v>КОМПЛЕКТ</v>
      </c>
      <c r="D64" s="5"/>
      <c r="E64" s="5">
        <f>Source!AF37</f>
        <v>88.99</v>
      </c>
      <c r="F64" s="5">
        <f>Source!AE37</f>
        <v>5.2</v>
      </c>
      <c r="G64" s="6"/>
      <c r="H64" s="6"/>
      <c r="I64" s="6">
        <f>Source!R37</f>
        <v>15.6</v>
      </c>
      <c r="J64" s="5">
        <f>Source!AI37</f>
        <v>0.44</v>
      </c>
      <c r="K64" s="6">
        <f>Source!V37</f>
        <v>1.32</v>
      </c>
    </row>
    <row r="65" spans="3:4" ht="12.75">
      <c r="C65" s="32" t="s">
        <v>578</v>
      </c>
      <c r="D65" s="33" t="str">
        <f>Source!BO37</f>
        <v>м11-03-011-2</v>
      </c>
    </row>
    <row r="66" spans="3:7" ht="12.75">
      <c r="C66" s="34" t="s">
        <v>579</v>
      </c>
      <c r="D66" s="4">
        <f>Source!AT37</f>
        <v>80</v>
      </c>
      <c r="E66" s="4"/>
      <c r="F66" s="4"/>
      <c r="G66" s="35">
        <f>Source!X37</f>
        <v>226.06</v>
      </c>
    </row>
    <row r="67" spans="3:7" ht="12.75">
      <c r="C67" s="34" t="s">
        <v>580</v>
      </c>
      <c r="D67" s="4">
        <f>Source!AU37</f>
        <v>60</v>
      </c>
      <c r="E67" s="4"/>
      <c r="F67" s="4"/>
      <c r="G67" s="35">
        <f>Source!Y37</f>
        <v>169.54</v>
      </c>
    </row>
    <row r="69" spans="1:11" ht="24">
      <c r="A69" s="27" t="str">
        <f>Source!E38</f>
        <v>6</v>
      </c>
      <c r="B69" s="27" t="str">
        <f>Source!F38</f>
        <v>м11-06-002-2</v>
      </c>
      <c r="C69" s="28" t="str">
        <f>Source!G38</f>
        <v>Проводки в щитах и пультах электрические: малогабаритных</v>
      </c>
      <c r="D69" s="5">
        <f>Source!I38</f>
        <v>0.5</v>
      </c>
      <c r="E69" s="30">
        <f>Source!AB38</f>
        <v>147.218</v>
      </c>
      <c r="F69" s="30">
        <f>Source!AD38</f>
        <v>0</v>
      </c>
      <c r="G69" s="6">
        <f>Source!O38</f>
        <v>73.61</v>
      </c>
      <c r="H69" s="6">
        <f>Source!S38</f>
        <v>68.7</v>
      </c>
      <c r="I69" s="31">
        <f>Source!Q38</f>
        <v>0</v>
      </c>
      <c r="J69" s="30">
        <f>Source!AH38</f>
        <v>12.4</v>
      </c>
      <c r="K69" s="31">
        <f>Source!U38</f>
        <v>6.2</v>
      </c>
    </row>
    <row r="70" spans="3:11" ht="12.75">
      <c r="C70" s="29" t="str">
        <f>Source!H38</f>
        <v>100 м</v>
      </c>
      <c r="D70" s="5"/>
      <c r="E70" s="5">
        <f>Source!AF38</f>
        <v>137.39</v>
      </c>
      <c r="F70" s="5">
        <f>Source!AE38</f>
        <v>0</v>
      </c>
      <c r="G70" s="6"/>
      <c r="H70" s="6"/>
      <c r="I70" s="6">
        <f>Source!R38</f>
        <v>0</v>
      </c>
      <c r="J70" s="5">
        <f>Source!AI38</f>
        <v>0</v>
      </c>
      <c r="K70" s="6">
        <f>Source!V38</f>
        <v>0</v>
      </c>
    </row>
    <row r="71" spans="3:4" ht="12.75">
      <c r="C71" s="32" t="s">
        <v>578</v>
      </c>
      <c r="D71" s="33" t="str">
        <f>Source!BO38</f>
        <v>м11-06-002-2</v>
      </c>
    </row>
    <row r="72" spans="3:7" ht="12.75">
      <c r="C72" s="34" t="s">
        <v>579</v>
      </c>
      <c r="D72" s="4">
        <f>Source!AT38</f>
        <v>80</v>
      </c>
      <c r="E72" s="4"/>
      <c r="F72" s="4"/>
      <c r="G72" s="35">
        <f>Source!X38</f>
        <v>54.96</v>
      </c>
    </row>
    <row r="73" spans="3:7" ht="12.75">
      <c r="C73" s="34" t="s">
        <v>580</v>
      </c>
      <c r="D73" s="4">
        <f>Source!AU38</f>
        <v>60</v>
      </c>
      <c r="E73" s="4"/>
      <c r="F73" s="4"/>
      <c r="G73" s="35">
        <f>Source!Y38</f>
        <v>41.22</v>
      </c>
    </row>
    <row r="75" spans="1:11" ht="36">
      <c r="A75" s="27" t="str">
        <f>Source!E39</f>
        <v>6,1</v>
      </c>
      <c r="B75" s="27">
        <f>Source!F39</f>
        <v>0</v>
      </c>
      <c r="C75" s="28" t="str">
        <f>Source!G39</f>
        <v>Провода силовые для электрических установок на напряжение до 450 В с медной жилой марки ПВ3, сечением 1 мм2</v>
      </c>
      <c r="D75" s="5">
        <f>Source!I39</f>
        <v>0.05</v>
      </c>
      <c r="E75" s="30">
        <f>Source!AB39</f>
        <v>1615.852</v>
      </c>
      <c r="F75" s="30">
        <f>Source!AD39</f>
        <v>0</v>
      </c>
      <c r="G75" s="6">
        <f>Source!O39</f>
        <v>80.79</v>
      </c>
      <c r="H75" s="6">
        <f>Source!S39</f>
        <v>0</v>
      </c>
      <c r="I75" s="31">
        <f>Source!Q39</f>
        <v>0</v>
      </c>
      <c r="J75" s="30">
        <f>Source!AH39</f>
        <v>0</v>
      </c>
      <c r="K75" s="31">
        <f>Source!U39</f>
        <v>0</v>
      </c>
    </row>
    <row r="76" spans="3:11" ht="12.75">
      <c r="C76" s="29" t="str">
        <f>Source!H39</f>
        <v>1000 м</v>
      </c>
      <c r="D76" s="5"/>
      <c r="E76" s="5">
        <f>Source!AF39</f>
        <v>0</v>
      </c>
      <c r="F76" s="5">
        <f>Source!AE39</f>
        <v>0</v>
      </c>
      <c r="G76" s="6"/>
      <c r="H76" s="6"/>
      <c r="I76" s="6">
        <f>Source!R39</f>
        <v>0</v>
      </c>
      <c r="J76" s="5">
        <f>Source!AI39</f>
        <v>0</v>
      </c>
      <c r="K76" s="6">
        <f>Source!V39</f>
        <v>0</v>
      </c>
    </row>
    <row r="77" spans="3:4" ht="12.75">
      <c r="C77" s="32" t="s">
        <v>578</v>
      </c>
      <c r="D77" s="33" t="str">
        <f>Source!BO39</f>
        <v>507-0262</v>
      </c>
    </row>
    <row r="78" spans="1:11" ht="24">
      <c r="A78" s="27" t="str">
        <f>Source!E40</f>
        <v>7</v>
      </c>
      <c r="B78" s="27" t="str">
        <f>Source!F40</f>
        <v>м08-02-148-1</v>
      </c>
      <c r="C78" s="28" t="str">
        <f>Source!G40</f>
        <v>Кабели до 35 кВ в проложенных трубах, блоках и коробах: Кабель, масса 1 м, кг, до 1</v>
      </c>
      <c r="D78" s="5">
        <f>Source!I40</f>
        <v>0.14</v>
      </c>
      <c r="E78" s="30">
        <f>Source!AB40</f>
        <v>729.2239999999999</v>
      </c>
      <c r="F78" s="30">
        <f>Source!AD40</f>
        <v>409.71</v>
      </c>
      <c r="G78" s="6">
        <f>Source!O40</f>
        <v>102.09</v>
      </c>
      <c r="H78" s="6">
        <f>Source!S40</f>
        <v>16.68</v>
      </c>
      <c r="I78" s="31">
        <f>Source!Q40</f>
        <v>57.36</v>
      </c>
      <c r="J78" s="30">
        <f>Source!AH40</f>
        <v>12.4</v>
      </c>
      <c r="K78" s="31">
        <f>Source!U40</f>
        <v>1.74</v>
      </c>
    </row>
    <row r="79" spans="3:11" ht="12.75">
      <c r="C79" s="29" t="str">
        <f>Source!H40</f>
        <v>100 м</v>
      </c>
      <c r="D79" s="5"/>
      <c r="E79" s="5">
        <f>Source!AF40</f>
        <v>119.16</v>
      </c>
      <c r="F79" s="5">
        <f>Source!AE40</f>
        <v>44.65</v>
      </c>
      <c r="G79" s="6"/>
      <c r="H79" s="6"/>
      <c r="I79" s="6">
        <f>Source!R40</f>
        <v>6.25</v>
      </c>
      <c r="J79" s="5">
        <f>Source!AI40</f>
        <v>3.78</v>
      </c>
      <c r="K79" s="6">
        <f>Source!V40</f>
        <v>0.53</v>
      </c>
    </row>
    <row r="80" spans="3:4" ht="12.75">
      <c r="C80" s="32" t="s">
        <v>578</v>
      </c>
      <c r="D80" s="33" t="str">
        <f>Source!BO40</f>
        <v>м08-02-148-1</v>
      </c>
    </row>
    <row r="81" spans="3:7" ht="12.75">
      <c r="C81" s="34" t="s">
        <v>579</v>
      </c>
      <c r="D81" s="4">
        <f>Source!AT40</f>
        <v>95</v>
      </c>
      <c r="E81" s="4"/>
      <c r="F81" s="4"/>
      <c r="G81" s="35">
        <f>Source!X40</f>
        <v>21.78</v>
      </c>
    </row>
    <row r="82" spans="3:7" ht="12.75">
      <c r="C82" s="34" t="s">
        <v>580</v>
      </c>
      <c r="D82" s="4">
        <f>Source!AU40</f>
        <v>65</v>
      </c>
      <c r="E82" s="4"/>
      <c r="F82" s="4"/>
      <c r="G82" s="35">
        <f>Source!Y40</f>
        <v>14.9</v>
      </c>
    </row>
    <row r="84" spans="1:11" ht="48">
      <c r="A84" s="27" t="str">
        <f>Source!E41</f>
        <v>8</v>
      </c>
      <c r="B84" s="27" t="str">
        <f>Source!F41</f>
        <v>м08-02-402-1</v>
      </c>
      <c r="C84" s="28" t="str">
        <f>Source!G41</f>
        <v>Кабели по установленным конструкциям и лоткам с установкой ответвительных коробок: Кабель двух-четырехжильный в помещениях с нормальной средой сечением жилы до 10 мм2</v>
      </c>
      <c r="D84" s="5">
        <f>Source!I41</f>
        <v>0.03</v>
      </c>
      <c r="E84" s="30">
        <f>Source!AB41</f>
        <v>791.81</v>
      </c>
      <c r="F84" s="30">
        <f>Source!AD41</f>
        <v>506.81</v>
      </c>
      <c r="G84" s="6">
        <f>Source!O41</f>
        <v>23.75</v>
      </c>
      <c r="H84" s="6">
        <f>Source!S41</f>
        <v>4.31</v>
      </c>
      <c r="I84" s="31">
        <f>Source!Q41</f>
        <v>15.2</v>
      </c>
      <c r="J84" s="30">
        <f>Source!AH41</f>
        <v>15.3</v>
      </c>
      <c r="K84" s="31">
        <f>Source!U41</f>
        <v>0.46</v>
      </c>
    </row>
    <row r="85" spans="3:11" ht="12.75">
      <c r="C85" s="29" t="str">
        <f>Source!H41</f>
        <v>100 м</v>
      </c>
      <c r="D85" s="5"/>
      <c r="E85" s="5">
        <f>Source!AF41</f>
        <v>143.67</v>
      </c>
      <c r="F85" s="5">
        <f>Source!AE41</f>
        <v>84.68</v>
      </c>
      <c r="G85" s="6"/>
      <c r="H85" s="6"/>
      <c r="I85" s="6">
        <f>Source!R41</f>
        <v>2.54</v>
      </c>
      <c r="J85" s="5">
        <f>Source!AI41</f>
        <v>7.17</v>
      </c>
      <c r="K85" s="6">
        <f>Source!V41</f>
        <v>0.22</v>
      </c>
    </row>
    <row r="86" spans="3:4" ht="12.75">
      <c r="C86" s="32" t="s">
        <v>578</v>
      </c>
      <c r="D86" s="33" t="str">
        <f>Source!BO41</f>
        <v>м08-02-402-1</v>
      </c>
    </row>
    <row r="87" spans="3:7" ht="12.75">
      <c r="C87" s="34" t="s">
        <v>579</v>
      </c>
      <c r="D87" s="4">
        <f>Source!AT41</f>
        <v>95</v>
      </c>
      <c r="E87" s="4"/>
      <c r="F87" s="4"/>
      <c r="G87" s="35">
        <f>Source!X41</f>
        <v>6.51</v>
      </c>
    </row>
    <row r="88" spans="3:7" ht="12.75">
      <c r="C88" s="34" t="s">
        <v>580</v>
      </c>
      <c r="D88" s="4">
        <f>Source!AU41</f>
        <v>65</v>
      </c>
      <c r="E88" s="4"/>
      <c r="F88" s="4"/>
      <c r="G88" s="35">
        <f>Source!Y41</f>
        <v>4.45</v>
      </c>
    </row>
    <row r="90" spans="1:11" ht="36">
      <c r="A90" s="27" t="str">
        <f>Source!E42</f>
        <v>8,1</v>
      </c>
      <c r="B90" s="27">
        <f>Source!F42</f>
        <v>0</v>
      </c>
      <c r="C90" s="28" t="str">
        <f>Source!G42</f>
        <v>Провода силовые для электрических установок на напряжение до 450 В с медной жилой марки ПВ3, сечением 1 мм2</v>
      </c>
      <c r="D90" s="5">
        <f>Source!I42</f>
        <v>0.018</v>
      </c>
      <c r="E90" s="30">
        <f>Source!AB42</f>
        <v>1615.852</v>
      </c>
      <c r="F90" s="30">
        <f>Source!AD42</f>
        <v>0</v>
      </c>
      <c r="G90" s="6">
        <f>Source!O42</f>
        <v>29.09</v>
      </c>
      <c r="H90" s="6">
        <f>Source!S42</f>
        <v>0</v>
      </c>
      <c r="I90" s="31">
        <f>Source!Q42</f>
        <v>0</v>
      </c>
      <c r="J90" s="30">
        <f>Source!AH42</f>
        <v>0</v>
      </c>
      <c r="K90" s="31">
        <f>Source!U42</f>
        <v>0</v>
      </c>
    </row>
    <row r="91" spans="3:11" ht="12.75">
      <c r="C91" s="29" t="str">
        <f>Source!H42</f>
        <v>1000 м</v>
      </c>
      <c r="D91" s="5"/>
      <c r="E91" s="5">
        <f>Source!AF42</f>
        <v>0</v>
      </c>
      <c r="F91" s="5">
        <f>Source!AE42</f>
        <v>0</v>
      </c>
      <c r="G91" s="6"/>
      <c r="H91" s="6"/>
      <c r="I91" s="6">
        <f>Source!R42</f>
        <v>0</v>
      </c>
      <c r="J91" s="5">
        <f>Source!AI42</f>
        <v>0</v>
      </c>
      <c r="K91" s="6">
        <f>Source!V42</f>
        <v>0</v>
      </c>
    </row>
    <row r="92" spans="3:4" ht="12.75">
      <c r="C92" s="32" t="s">
        <v>578</v>
      </c>
      <c r="D92" s="33" t="str">
        <f>Source!BO42</f>
        <v>507-0262</v>
      </c>
    </row>
    <row r="93" spans="1:11" ht="36">
      <c r="A93" s="27" t="str">
        <f>Source!E43</f>
        <v>8,2</v>
      </c>
      <c r="B93" s="27">
        <f>Source!F43</f>
        <v>0</v>
      </c>
      <c r="C93" s="28" t="str">
        <f>Source!G43</f>
        <v>Кабели контрольные с медными жилами с поливинилхлоридной изоляцией и оболочкой марки КВВГ, с числом жил - 4 и сечением 1 мм2</v>
      </c>
      <c r="D93" s="5">
        <f>Source!I43</f>
        <v>0.009</v>
      </c>
      <c r="E93" s="30">
        <f>Source!AB43</f>
        <v>5665.94</v>
      </c>
      <c r="F93" s="30">
        <f>Source!AD43</f>
        <v>0</v>
      </c>
      <c r="G93" s="6">
        <f>Source!O43</f>
        <v>50.99</v>
      </c>
      <c r="H93" s="6">
        <f>Source!S43</f>
        <v>0</v>
      </c>
      <c r="I93" s="31">
        <f>Source!Q43</f>
        <v>0</v>
      </c>
      <c r="J93" s="30">
        <f>Source!AH43</f>
        <v>0</v>
      </c>
      <c r="K93" s="31">
        <f>Source!U43</f>
        <v>0</v>
      </c>
    </row>
    <row r="94" spans="3:11" ht="12.75">
      <c r="C94" s="29" t="str">
        <f>Source!H43</f>
        <v>1000 м</v>
      </c>
      <c r="D94" s="5"/>
      <c r="E94" s="5">
        <f>Source!AF43</f>
        <v>0</v>
      </c>
      <c r="F94" s="5">
        <f>Source!AE43</f>
        <v>0</v>
      </c>
      <c r="G94" s="6"/>
      <c r="H94" s="6"/>
      <c r="I94" s="6">
        <f>Source!R43</f>
        <v>0</v>
      </c>
      <c r="J94" s="5">
        <f>Source!AI43</f>
        <v>0</v>
      </c>
      <c r="K94" s="6">
        <f>Source!V43</f>
        <v>0</v>
      </c>
    </row>
    <row r="95" spans="3:4" ht="12.75">
      <c r="C95" s="32" t="s">
        <v>578</v>
      </c>
      <c r="D95" s="33" t="str">
        <f>Source!BO43</f>
        <v>503-0011</v>
      </c>
    </row>
    <row r="96" spans="1:11" ht="36">
      <c r="A96" s="27" t="str">
        <f>Source!E44</f>
        <v>8,3</v>
      </c>
      <c r="B96" s="27">
        <f>Source!F44</f>
        <v>0</v>
      </c>
      <c r="C96" s="28" t="str">
        <f>Source!G44</f>
        <v>Кабели контрольные с медными жилами с поливинилхлоридной изоляцией и оболочкой марки КВВГ, с числом жил - 5 и сечением 1 мм2</v>
      </c>
      <c r="D96" s="5">
        <f>Source!I44</f>
        <v>0.003</v>
      </c>
      <c r="E96" s="30">
        <f>Source!AB44</f>
        <v>7107.6179999999995</v>
      </c>
      <c r="F96" s="30">
        <f>Source!AD44</f>
        <v>0</v>
      </c>
      <c r="G96" s="6">
        <f>Source!O44</f>
        <v>21.32</v>
      </c>
      <c r="H96" s="6">
        <f>Source!S44</f>
        <v>0</v>
      </c>
      <c r="I96" s="31">
        <f>Source!Q44</f>
        <v>0</v>
      </c>
      <c r="J96" s="30">
        <f>Source!AH44</f>
        <v>0</v>
      </c>
      <c r="K96" s="31">
        <f>Source!U44</f>
        <v>0</v>
      </c>
    </row>
    <row r="97" spans="3:11" ht="12.75">
      <c r="C97" s="29" t="str">
        <f>Source!H44</f>
        <v>1000 м</v>
      </c>
      <c r="D97" s="5"/>
      <c r="E97" s="5">
        <f>Source!AF44</f>
        <v>0</v>
      </c>
      <c r="F97" s="5">
        <f>Source!AE44</f>
        <v>0</v>
      </c>
      <c r="G97" s="6"/>
      <c r="H97" s="6"/>
      <c r="I97" s="6">
        <f>Source!R44</f>
        <v>0</v>
      </c>
      <c r="J97" s="5">
        <f>Source!AI44</f>
        <v>0</v>
      </c>
      <c r="K97" s="6">
        <f>Source!V44</f>
        <v>0</v>
      </c>
    </row>
    <row r="98" spans="3:4" ht="12.75">
      <c r="C98" s="32" t="s">
        <v>578</v>
      </c>
      <c r="D98" s="33" t="str">
        <f>Source!BO44</f>
        <v>503-0012</v>
      </c>
    </row>
    <row r="99" spans="1:11" ht="36">
      <c r="A99" s="27" t="str">
        <f>Source!E45</f>
        <v>8,4</v>
      </c>
      <c r="B99" s="27">
        <f>Source!F45</f>
        <v>0</v>
      </c>
      <c r="C99" s="28" t="str">
        <f>Source!G45</f>
        <v>Кабели контрольные с алюминиевыми жилами с поливинилхлоридной изоляцией и оболочкой, марки АКВВГ, с числом жил - 10 и сечением 2.5 мм2</v>
      </c>
      <c r="D99" s="5">
        <f>Source!I45</f>
        <v>0.005</v>
      </c>
      <c r="E99" s="30">
        <f>Source!AB45</f>
        <v>10708.208</v>
      </c>
      <c r="F99" s="30">
        <f>Source!AD45</f>
        <v>0</v>
      </c>
      <c r="G99" s="6">
        <f>Source!O45</f>
        <v>53.54</v>
      </c>
      <c r="H99" s="6">
        <f>Source!S45</f>
        <v>0</v>
      </c>
      <c r="I99" s="31">
        <f>Source!Q45</f>
        <v>0</v>
      </c>
      <c r="J99" s="30">
        <f>Source!AH45</f>
        <v>0</v>
      </c>
      <c r="K99" s="31">
        <f>Source!U45</f>
        <v>0</v>
      </c>
    </row>
    <row r="100" spans="3:11" ht="12.75">
      <c r="C100" s="29" t="str">
        <f>Source!H45</f>
        <v>1000 м</v>
      </c>
      <c r="D100" s="5"/>
      <c r="E100" s="5">
        <f>Source!AF45</f>
        <v>0</v>
      </c>
      <c r="F100" s="5">
        <f>Source!AE45</f>
        <v>0</v>
      </c>
      <c r="G100" s="6"/>
      <c r="H100" s="6"/>
      <c r="I100" s="6">
        <f>Source!R45</f>
        <v>0</v>
      </c>
      <c r="J100" s="5">
        <f>Source!AI45</f>
        <v>0</v>
      </c>
      <c r="K100" s="6">
        <f>Source!V45</f>
        <v>0</v>
      </c>
    </row>
    <row r="101" spans="3:4" ht="12.75">
      <c r="C101" s="32" t="s">
        <v>578</v>
      </c>
      <c r="D101" s="33" t="str">
        <f>Source!BO45</f>
        <v>503-0358</v>
      </c>
    </row>
    <row r="102" spans="1:11" ht="36">
      <c r="A102" s="27" t="str">
        <f>Source!E46</f>
        <v>8,5</v>
      </c>
      <c r="B102" s="27">
        <f>Source!F46</f>
        <v>0</v>
      </c>
      <c r="C102" s="28" t="str">
        <f>Source!G46</f>
        <v>Провода силовые для электрических установок на напряжение до 450 В с алюминиевой жилой марки АПВ, сечением 2.5 мм2</v>
      </c>
      <c r="D102" s="5">
        <f>Source!I46</f>
        <v>0.018</v>
      </c>
      <c r="E102" s="30">
        <f>Source!AB46</f>
        <v>1243.886</v>
      </c>
      <c r="F102" s="30">
        <f>Source!AD46</f>
        <v>0</v>
      </c>
      <c r="G102" s="6">
        <f>Source!O46</f>
        <v>22.39</v>
      </c>
      <c r="H102" s="6">
        <f>Source!S46</f>
        <v>0</v>
      </c>
      <c r="I102" s="31">
        <f>Source!Q46</f>
        <v>0</v>
      </c>
      <c r="J102" s="30">
        <f>Source!AH46</f>
        <v>0</v>
      </c>
      <c r="K102" s="31">
        <f>Source!U46</f>
        <v>0</v>
      </c>
    </row>
    <row r="103" spans="3:11" ht="12.75">
      <c r="C103" s="29" t="str">
        <f>Source!H46</f>
        <v>1000 м</v>
      </c>
      <c r="D103" s="5"/>
      <c r="E103" s="5">
        <f>Source!AF46</f>
        <v>0</v>
      </c>
      <c r="F103" s="5">
        <f>Source!AE46</f>
        <v>0</v>
      </c>
      <c r="G103" s="6"/>
      <c r="H103" s="6"/>
      <c r="I103" s="6">
        <f>Source!R46</f>
        <v>0</v>
      </c>
      <c r="J103" s="5">
        <f>Source!AI46</f>
        <v>0</v>
      </c>
      <c r="K103" s="6">
        <f>Source!V46</f>
        <v>0</v>
      </c>
    </row>
    <row r="104" spans="3:4" ht="12.75">
      <c r="C104" s="32" t="s">
        <v>578</v>
      </c>
      <c r="D104" s="33" t="str">
        <f>Source!BO46</f>
        <v>507-0227</v>
      </c>
    </row>
    <row r="105" spans="1:11" ht="36">
      <c r="A105" s="27" t="str">
        <f>Source!E47</f>
        <v>9</v>
      </c>
      <c r="B105" s="27" t="str">
        <f>Source!F47</f>
        <v>м08-02-405-1</v>
      </c>
      <c r="C105" s="28" t="str">
        <f>Source!G47</f>
        <v>Провода по стальным конструкциям и панелям: Провод по установленным стальным конструкциям и панелям, сечение, мм2, до 16</v>
      </c>
      <c r="D105" s="5">
        <f>Source!I47</f>
        <v>0.36</v>
      </c>
      <c r="E105" s="30">
        <f>Source!AB47</f>
        <v>593.762</v>
      </c>
      <c r="F105" s="30">
        <f>Source!AD47</f>
        <v>87.57</v>
      </c>
      <c r="G105" s="6">
        <f>Source!O47</f>
        <v>213.76</v>
      </c>
      <c r="H105" s="6">
        <f>Source!S47</f>
        <v>129.47</v>
      </c>
      <c r="I105" s="31">
        <f>Source!Q47</f>
        <v>31.53</v>
      </c>
      <c r="J105" s="30">
        <f>Source!AH47</f>
        <v>38.3</v>
      </c>
      <c r="K105" s="31">
        <f>Source!U47</f>
        <v>13.79</v>
      </c>
    </row>
    <row r="106" spans="3:11" ht="12.75">
      <c r="C106" s="29" t="str">
        <f>Source!H47</f>
        <v>100 м</v>
      </c>
      <c r="D106" s="5"/>
      <c r="E106" s="5">
        <f>Source!AF47</f>
        <v>359.64</v>
      </c>
      <c r="F106" s="5">
        <f>Source!AE47</f>
        <v>5.9</v>
      </c>
      <c r="G106" s="6"/>
      <c r="H106" s="6"/>
      <c r="I106" s="6">
        <f>Source!R47</f>
        <v>2.12</v>
      </c>
      <c r="J106" s="5">
        <f>Source!AI47</f>
        <v>0.5</v>
      </c>
      <c r="K106" s="6">
        <f>Source!V47</f>
        <v>0.18</v>
      </c>
    </row>
    <row r="107" spans="3:4" ht="12.75">
      <c r="C107" s="32" t="s">
        <v>578</v>
      </c>
      <c r="D107" s="33" t="str">
        <f>Source!BO47</f>
        <v>м08-02-405-1</v>
      </c>
    </row>
    <row r="108" spans="3:7" ht="12.75">
      <c r="C108" s="34" t="s">
        <v>579</v>
      </c>
      <c r="D108" s="4">
        <f>Source!AT47</f>
        <v>95</v>
      </c>
      <c r="E108" s="4"/>
      <c r="F108" s="4"/>
      <c r="G108" s="35">
        <f>Source!X47</f>
        <v>125.01</v>
      </c>
    </row>
    <row r="109" spans="3:7" ht="12.75">
      <c r="C109" s="34" t="s">
        <v>580</v>
      </c>
      <c r="D109" s="4">
        <f>Source!AU47</f>
        <v>65</v>
      </c>
      <c r="E109" s="4"/>
      <c r="F109" s="4"/>
      <c r="G109" s="35">
        <f>Source!Y47</f>
        <v>85.53</v>
      </c>
    </row>
    <row r="111" spans="1:11" ht="36">
      <c r="A111" s="27" t="str">
        <f>Source!E48</f>
        <v>10</v>
      </c>
      <c r="B111" s="27" t="str">
        <f>Source!F48</f>
        <v>м12-07-002-2</v>
      </c>
      <c r="C111" s="28" t="str">
        <f>Source!G48</f>
        <v>Трубные проводки из бесшовных труб на условное давление до 10 МПа на соединениях разъемных, диаметр труб наружный, мм: 22</v>
      </c>
      <c r="D111" s="5">
        <f>Source!I48</f>
        <v>0.009</v>
      </c>
      <c r="E111" s="30">
        <f>Source!AB48</f>
        <v>10566.284</v>
      </c>
      <c r="F111" s="30">
        <f>Source!AD48</f>
        <v>5933.4</v>
      </c>
      <c r="G111" s="6">
        <f>Source!O48</f>
        <v>95.1</v>
      </c>
      <c r="H111" s="6">
        <f>Source!S48</f>
        <v>33.56</v>
      </c>
      <c r="I111" s="31">
        <f>Source!Q48</f>
        <v>53.4</v>
      </c>
      <c r="J111" s="30">
        <f>Source!AH48</f>
        <v>388</v>
      </c>
      <c r="K111" s="31">
        <f>Source!U48</f>
        <v>3.49</v>
      </c>
    </row>
    <row r="112" spans="3:11" ht="12.75">
      <c r="C112" s="29" t="str">
        <f>Source!H48</f>
        <v>1000 м</v>
      </c>
      <c r="D112" s="5"/>
      <c r="E112" s="5">
        <f>Source!AF48</f>
        <v>3728.68</v>
      </c>
      <c r="F112" s="5">
        <f>Source!AE48</f>
        <v>1520.44</v>
      </c>
      <c r="G112" s="6"/>
      <c r="H112" s="6"/>
      <c r="I112" s="6">
        <f>Source!R48</f>
        <v>13.68</v>
      </c>
      <c r="J112" s="5">
        <f>Source!AI48</f>
        <v>128.74</v>
      </c>
      <c r="K112" s="6">
        <f>Source!V48</f>
        <v>1.16</v>
      </c>
    </row>
    <row r="113" spans="3:4" ht="12.75">
      <c r="C113" s="32" t="s">
        <v>578</v>
      </c>
      <c r="D113" s="33" t="str">
        <f>Source!BO48</f>
        <v>м12-07-002-2</v>
      </c>
    </row>
    <row r="114" spans="3:7" ht="12.75">
      <c r="C114" s="34" t="s">
        <v>579</v>
      </c>
      <c r="D114" s="4">
        <f>Source!AT48</f>
        <v>80</v>
      </c>
      <c r="E114" s="4"/>
      <c r="F114" s="4"/>
      <c r="G114" s="35">
        <f>Source!X48</f>
        <v>37.79</v>
      </c>
    </row>
    <row r="115" spans="3:7" ht="12.75">
      <c r="C115" s="34" t="s">
        <v>580</v>
      </c>
      <c r="D115" s="4">
        <f>Source!AU48</f>
        <v>60</v>
      </c>
      <c r="E115" s="4"/>
      <c r="F115" s="4"/>
      <c r="G115" s="35">
        <f>Source!Y48</f>
        <v>28.34</v>
      </c>
    </row>
    <row r="117" spans="1:11" ht="36">
      <c r="A117" s="27" t="str">
        <f>Source!E49</f>
        <v>10,1</v>
      </c>
      <c r="B117" s="27">
        <f>Source!F49</f>
        <v>0</v>
      </c>
      <c r="C117" s="28" t="str">
        <f>Source!G49</f>
        <v>Трубы стальные сварные водогазопроводные с резьбой черные обыкновенные (неоцинкованные) диаметр условного прохода 15 мм, толщина стенки 2.8 мм</v>
      </c>
      <c r="D117" s="5">
        <f>Source!I49</f>
        <v>9</v>
      </c>
      <c r="E117" s="30">
        <f>Source!AB49</f>
        <v>8.904</v>
      </c>
      <c r="F117" s="30">
        <f>Source!AD49</f>
        <v>0</v>
      </c>
      <c r="G117" s="6">
        <f>Source!O49</f>
        <v>80.14</v>
      </c>
      <c r="H117" s="6">
        <f>Source!S49</f>
        <v>0</v>
      </c>
      <c r="I117" s="31">
        <f>Source!Q49</f>
        <v>0</v>
      </c>
      <c r="J117" s="30">
        <f>Source!AH49</f>
        <v>0</v>
      </c>
      <c r="K117" s="31">
        <f>Source!U49</f>
        <v>0</v>
      </c>
    </row>
    <row r="118" spans="3:11" ht="12.75">
      <c r="C118" s="29" t="str">
        <f>Source!H49</f>
        <v>м</v>
      </c>
      <c r="D118" s="5"/>
      <c r="E118" s="5">
        <f>Source!AF49</f>
        <v>0</v>
      </c>
      <c r="F118" s="5">
        <f>Source!AE49</f>
        <v>0</v>
      </c>
      <c r="G118" s="6"/>
      <c r="H118" s="6"/>
      <c r="I118" s="6">
        <f>Source!R49</f>
        <v>0</v>
      </c>
      <c r="J118" s="5">
        <f>Source!AI49</f>
        <v>0</v>
      </c>
      <c r="K118" s="6">
        <f>Source!V49</f>
        <v>0</v>
      </c>
    </row>
    <row r="119" spans="3:4" ht="12.75">
      <c r="C119" s="32" t="s">
        <v>578</v>
      </c>
      <c r="D119" s="33" t="str">
        <f>Source!BO49</f>
        <v>103-0013</v>
      </c>
    </row>
    <row r="120" spans="1:11" ht="36">
      <c r="A120" s="27" t="str">
        <f>Source!E50</f>
        <v>11</v>
      </c>
      <c r="B120" s="27" t="str">
        <f>Source!F50</f>
        <v>м12-12-002-2</v>
      </c>
      <c r="C120" s="28" t="str">
        <f>Source!G50</f>
        <v>Арматура фланцевая с ручным приводом или без привода водопроводная на условное давление до 10 МПа, диаметр условного прохода, мм: 15</v>
      </c>
      <c r="D120" s="5">
        <f>Source!I50</f>
        <v>9</v>
      </c>
      <c r="E120" s="30">
        <f>Source!AB50</f>
        <v>43.944</v>
      </c>
      <c r="F120" s="30">
        <f>Source!AD50</f>
        <v>0</v>
      </c>
      <c r="G120" s="6">
        <f>Source!O50</f>
        <v>395.5</v>
      </c>
      <c r="H120" s="6">
        <f>Source!S50</f>
        <v>363.24</v>
      </c>
      <c r="I120" s="31">
        <f>Source!Q50</f>
        <v>0</v>
      </c>
      <c r="J120" s="30">
        <f>Source!AH50</f>
        <v>4.2</v>
      </c>
      <c r="K120" s="31">
        <f>Source!U50</f>
        <v>37.8</v>
      </c>
    </row>
    <row r="121" spans="3:11" ht="12.75">
      <c r="C121" s="29" t="str">
        <f>Source!H50</f>
        <v>шт.</v>
      </c>
      <c r="D121" s="5"/>
      <c r="E121" s="5">
        <f>Source!AF50</f>
        <v>40.36</v>
      </c>
      <c r="F121" s="5">
        <f>Source!AE50</f>
        <v>0</v>
      </c>
      <c r="G121" s="6"/>
      <c r="H121" s="6"/>
      <c r="I121" s="6">
        <f>Source!R50</f>
        <v>0</v>
      </c>
      <c r="J121" s="5">
        <f>Source!AI50</f>
        <v>0</v>
      </c>
      <c r="K121" s="6">
        <f>Source!V50</f>
        <v>0</v>
      </c>
    </row>
    <row r="122" spans="3:4" ht="12.75">
      <c r="C122" s="32" t="s">
        <v>578</v>
      </c>
      <c r="D122" s="33" t="str">
        <f>Source!BO50</f>
        <v>м12-12-002-2</v>
      </c>
    </row>
    <row r="123" spans="3:7" ht="12.75">
      <c r="C123" s="34" t="s">
        <v>579</v>
      </c>
      <c r="D123" s="4">
        <f>Source!AT50</f>
        <v>80</v>
      </c>
      <c r="E123" s="4"/>
      <c r="F123" s="4"/>
      <c r="G123" s="35">
        <f>Source!X50</f>
        <v>290.59</v>
      </c>
    </row>
    <row r="124" spans="3:7" ht="12.75">
      <c r="C124" s="34" t="s">
        <v>580</v>
      </c>
      <c r="D124" s="4">
        <f>Source!AU50</f>
        <v>60</v>
      </c>
      <c r="E124" s="4"/>
      <c r="F124" s="4"/>
      <c r="G124" s="35">
        <f>Source!Y50</f>
        <v>217.94</v>
      </c>
    </row>
    <row r="126" spans="1:11" ht="36">
      <c r="A126" s="27" t="str">
        <f>Source!E51</f>
        <v>11,1</v>
      </c>
      <c r="B126" s="27">
        <f>Source!F51</f>
        <v>0</v>
      </c>
      <c r="C126" s="28" t="str">
        <f>Source!G51</f>
        <v>Краны трехходовые сальниковые фланцевые 11Ч18БК для воды, нефти и масла, давлением 0,6 МПа (6 кгс/см2), диаметром 40 мм</v>
      </c>
      <c r="D126" s="5">
        <f>Source!I51</f>
        <v>9</v>
      </c>
      <c r="E126" s="30">
        <f>Source!AB51</f>
        <v>267.862</v>
      </c>
      <c r="F126" s="30">
        <f>Source!AD51</f>
        <v>0</v>
      </c>
      <c r="G126" s="6">
        <f>Source!O51</f>
        <v>2410.76</v>
      </c>
      <c r="H126" s="6">
        <f>Source!S51</f>
        <v>0</v>
      </c>
      <c r="I126" s="31">
        <f>Source!Q51</f>
        <v>0</v>
      </c>
      <c r="J126" s="30">
        <f>Source!AH51</f>
        <v>0</v>
      </c>
      <c r="K126" s="31">
        <f>Source!U51</f>
        <v>0</v>
      </c>
    </row>
    <row r="127" spans="3:11" ht="12.75">
      <c r="C127" s="29" t="str">
        <f>Source!H51</f>
        <v>шт.</v>
      </c>
      <c r="D127" s="5"/>
      <c r="E127" s="5">
        <f>Source!AF51</f>
        <v>0</v>
      </c>
      <c r="F127" s="5">
        <f>Source!AE51</f>
        <v>0</v>
      </c>
      <c r="G127" s="6"/>
      <c r="H127" s="6"/>
      <c r="I127" s="6">
        <f>Source!R51</f>
        <v>0</v>
      </c>
      <c r="J127" s="5">
        <f>Source!AI51</f>
        <v>0</v>
      </c>
      <c r="K127" s="6">
        <f>Source!V51</f>
        <v>0</v>
      </c>
    </row>
    <row r="128" spans="3:4" ht="12.75">
      <c r="C128" s="32" t="s">
        <v>578</v>
      </c>
      <c r="D128" s="33" t="str">
        <f>Source!BO51</f>
        <v>300-1115</v>
      </c>
    </row>
    <row r="129" spans="1:11" ht="48">
      <c r="A129" s="27" t="str">
        <f>Source!E52</f>
        <v>12</v>
      </c>
      <c r="B129" s="27" t="str">
        <f>Source!F52</f>
        <v>м08-02-412-1</v>
      </c>
      <c r="C129" s="28" t="str">
        <f>Source!G52</f>
        <v>Затягивание проводов в проложенные трубы и металлические рукава: Провод первый одножильный или многожильный в общей оплетке, суммарное сечение, мм2, до 2,5</v>
      </c>
      <c r="D129" s="5">
        <f>Source!I52</f>
        <v>0.14</v>
      </c>
      <c r="E129" s="30">
        <f>Source!AB52</f>
        <v>198.898</v>
      </c>
      <c r="F129" s="30">
        <f>Source!AD52</f>
        <v>2.06</v>
      </c>
      <c r="G129" s="6">
        <f>Source!O52</f>
        <v>27.85</v>
      </c>
      <c r="H129" s="6">
        <f>Source!S52</f>
        <v>7.38</v>
      </c>
      <c r="I129" s="31">
        <f>Source!Q52</f>
        <v>0.29</v>
      </c>
      <c r="J129" s="30">
        <f>Source!AH52</f>
        <v>5.61</v>
      </c>
      <c r="K129" s="31">
        <f>Source!U52</f>
        <v>0.79</v>
      </c>
    </row>
    <row r="130" spans="3:11" ht="12.75">
      <c r="C130" s="29" t="str">
        <f>Source!H52</f>
        <v>100 м</v>
      </c>
      <c r="D130" s="5"/>
      <c r="E130" s="5">
        <f>Source!AF52</f>
        <v>52.68</v>
      </c>
      <c r="F130" s="5">
        <f>Source!AE52</f>
        <v>0.24</v>
      </c>
      <c r="G130" s="6"/>
      <c r="H130" s="6"/>
      <c r="I130" s="6">
        <f>Source!R52</f>
        <v>0.03</v>
      </c>
      <c r="J130" s="5">
        <f>Source!AI52</f>
        <v>0.02</v>
      </c>
      <c r="K130" s="6">
        <f>Source!V52</f>
        <v>0</v>
      </c>
    </row>
    <row r="131" spans="3:4" ht="12.75">
      <c r="C131" s="32" t="s">
        <v>578</v>
      </c>
      <c r="D131" s="33" t="str">
        <f>Source!BO52</f>
        <v>м08-02-412-1</v>
      </c>
    </row>
    <row r="132" spans="3:7" ht="12.75">
      <c r="C132" s="34" t="s">
        <v>579</v>
      </c>
      <c r="D132" s="4">
        <f>Source!AT52</f>
        <v>95</v>
      </c>
      <c r="E132" s="4"/>
      <c r="F132" s="4"/>
      <c r="G132" s="35">
        <f>Source!X52</f>
        <v>7.04</v>
      </c>
    </row>
    <row r="133" spans="3:7" ht="12.75">
      <c r="C133" s="34" t="s">
        <v>580</v>
      </c>
      <c r="D133" s="4">
        <f>Source!AU52</f>
        <v>65</v>
      </c>
      <c r="E133" s="4"/>
      <c r="F133" s="4"/>
      <c r="G133" s="35">
        <f>Source!Y52</f>
        <v>4.82</v>
      </c>
    </row>
    <row r="135" spans="1:11" ht="24">
      <c r="A135" s="27" t="str">
        <f>Source!E53</f>
        <v>12,1</v>
      </c>
      <c r="B135" s="27">
        <f>Source!F53</f>
        <v>0</v>
      </c>
      <c r="C135" s="28" t="str">
        <f>Source!G53</f>
        <v>Разветвительная коробка</v>
      </c>
      <c r="D135" s="5">
        <f>Source!I53</f>
        <v>1.9999999600000002</v>
      </c>
      <c r="E135" s="30">
        <f>Source!AB53</f>
        <v>800.212</v>
      </c>
      <c r="F135" s="30">
        <f>Source!AD53</f>
        <v>0</v>
      </c>
      <c r="G135" s="6">
        <f>Source!O53</f>
        <v>1600.42</v>
      </c>
      <c r="H135" s="6">
        <f>Source!S53</f>
        <v>0</v>
      </c>
      <c r="I135" s="31">
        <f>Source!Q53</f>
        <v>0</v>
      </c>
      <c r="J135" s="30">
        <f>Source!AH53</f>
        <v>0</v>
      </c>
      <c r="K135" s="31">
        <f>Source!U53</f>
        <v>0</v>
      </c>
    </row>
    <row r="136" spans="3:11" ht="12.75">
      <c r="C136" s="29" t="str">
        <f>Source!H53</f>
        <v>шт.</v>
      </c>
      <c r="D136" s="5"/>
      <c r="E136" s="5">
        <f>Source!AF53</f>
        <v>0</v>
      </c>
      <c r="F136" s="5">
        <f>Source!AE53</f>
        <v>0</v>
      </c>
      <c r="G136" s="6"/>
      <c r="H136" s="6"/>
      <c r="I136" s="6">
        <f>Source!R53</f>
        <v>0</v>
      </c>
      <c r="J136" s="5">
        <f>Source!AI53</f>
        <v>0</v>
      </c>
      <c r="K136" s="6">
        <f>Source!V53</f>
        <v>0</v>
      </c>
    </row>
    <row r="137" spans="3:4" ht="12.75">
      <c r="C137" s="32" t="s">
        <v>578</v>
      </c>
      <c r="D137" s="33" t="str">
        <f>Source!BO53</f>
        <v>500-9096</v>
      </c>
    </row>
    <row r="138" spans="1:11" ht="12.75">
      <c r="A138" s="27" t="str">
        <f>Source!E54</f>
        <v>13</v>
      </c>
      <c r="B138" s="27" t="str">
        <f>Source!F54</f>
        <v>м08-03-604-1</v>
      </c>
      <c r="C138" s="28" t="str">
        <f>Source!G54</f>
        <v>Звонки электрические с кнопкой: Звонок с кнопкой</v>
      </c>
      <c r="D138" s="5">
        <f>Source!I54</f>
        <v>0.02</v>
      </c>
      <c r="E138" s="30">
        <f>Source!AB54</f>
        <v>2417.996</v>
      </c>
      <c r="F138" s="30">
        <f>Source!AD54</f>
        <v>77.19</v>
      </c>
      <c r="G138" s="6">
        <f>Source!O54</f>
        <v>48.35</v>
      </c>
      <c r="H138" s="6">
        <f>Source!S54</f>
        <v>15.16</v>
      </c>
      <c r="I138" s="31">
        <f>Source!Q54</f>
        <v>1.54</v>
      </c>
      <c r="J138" s="30">
        <f>Source!AH54</f>
        <v>76.5</v>
      </c>
      <c r="K138" s="31">
        <f>Source!U54</f>
        <v>1.53</v>
      </c>
    </row>
    <row r="139" spans="3:11" ht="12.75">
      <c r="C139" s="29" t="str">
        <f>Source!H54</f>
        <v>100 компл.</v>
      </c>
      <c r="D139" s="5"/>
      <c r="E139" s="5">
        <f>Source!AF54</f>
        <v>758.12</v>
      </c>
      <c r="F139" s="5">
        <f>Source!AE54</f>
        <v>2.36</v>
      </c>
      <c r="G139" s="6"/>
      <c r="H139" s="6"/>
      <c r="I139" s="6">
        <f>Source!R54</f>
        <v>0.05</v>
      </c>
      <c r="J139" s="5">
        <f>Source!AI54</f>
        <v>0.2</v>
      </c>
      <c r="K139" s="6">
        <f>Source!V54</f>
        <v>0</v>
      </c>
    </row>
    <row r="140" spans="3:4" ht="12.75">
      <c r="C140" s="32" t="s">
        <v>578</v>
      </c>
      <c r="D140" s="33" t="str">
        <f>Source!BO54</f>
        <v>м08-03-604-1</v>
      </c>
    </row>
    <row r="141" spans="3:7" ht="12.75">
      <c r="C141" s="34" t="s">
        <v>579</v>
      </c>
      <c r="D141" s="4">
        <f>Source!AT54</f>
        <v>95</v>
      </c>
      <c r="E141" s="4"/>
      <c r="F141" s="4"/>
      <c r="G141" s="35">
        <f>Source!X54</f>
        <v>14.45</v>
      </c>
    </row>
    <row r="142" spans="3:7" ht="12.75">
      <c r="C142" s="34" t="s">
        <v>580</v>
      </c>
      <c r="D142" s="4">
        <f>Source!AU54</f>
        <v>65</v>
      </c>
      <c r="E142" s="4"/>
      <c r="F142" s="4"/>
      <c r="G142" s="35">
        <f>Source!Y54</f>
        <v>9.89</v>
      </c>
    </row>
    <row r="144" spans="1:11" ht="24">
      <c r="A144" s="27" t="str">
        <f>Source!E55</f>
        <v>14</v>
      </c>
      <c r="B144" s="27" t="str">
        <f>Source!F55</f>
        <v>м08-02-411-1</v>
      </c>
      <c r="C144" s="28" t="str">
        <f>Source!G55</f>
        <v>Рукава металлические и вводы гибкие: Рукав, наружный диаметр, мм, до 48</v>
      </c>
      <c r="D144" s="5">
        <f>Source!I55</f>
        <v>0.05</v>
      </c>
      <c r="E144" s="30">
        <f>Source!AB55</f>
        <v>1371.2399999999998</v>
      </c>
      <c r="F144" s="30">
        <f>Source!AD55</f>
        <v>100.34</v>
      </c>
      <c r="G144" s="6">
        <f>Source!O55</f>
        <v>68.56</v>
      </c>
      <c r="H144" s="6">
        <f>Source!S55</f>
        <v>16.29</v>
      </c>
      <c r="I144" s="31">
        <f>Source!Q55</f>
        <v>5.02</v>
      </c>
      <c r="J144" s="30">
        <f>Source!AH55</f>
        <v>34.7</v>
      </c>
      <c r="K144" s="31">
        <f>Source!U55</f>
        <v>1.74</v>
      </c>
    </row>
    <row r="145" spans="3:11" ht="12.75">
      <c r="C145" s="29" t="str">
        <f>Source!H55</f>
        <v>100 м</v>
      </c>
      <c r="D145" s="5"/>
      <c r="E145" s="5">
        <f>Source!AF55</f>
        <v>325.83</v>
      </c>
      <c r="F145" s="5">
        <f>Source!AE55</f>
        <v>5.2</v>
      </c>
      <c r="G145" s="6"/>
      <c r="H145" s="6"/>
      <c r="I145" s="6">
        <f>Source!R55</f>
        <v>0.26</v>
      </c>
      <c r="J145" s="5">
        <f>Source!AI55</f>
        <v>0.44</v>
      </c>
      <c r="K145" s="6">
        <f>Source!V55</f>
        <v>0.02</v>
      </c>
    </row>
    <row r="146" spans="3:4" ht="12.75">
      <c r="C146" s="32" t="s">
        <v>578</v>
      </c>
      <c r="D146" s="33" t="str">
        <f>Source!BO55</f>
        <v>м08-02-411-1</v>
      </c>
    </row>
    <row r="147" spans="3:7" ht="12.75">
      <c r="C147" s="34" t="s">
        <v>579</v>
      </c>
      <c r="D147" s="4">
        <f>Source!AT55</f>
        <v>95</v>
      </c>
      <c r="E147" s="4"/>
      <c r="F147" s="4"/>
      <c r="G147" s="35">
        <f>Source!X55</f>
        <v>15.72</v>
      </c>
    </row>
    <row r="148" spans="3:7" ht="12.75">
      <c r="C148" s="34" t="s">
        <v>580</v>
      </c>
      <c r="D148" s="4">
        <f>Source!AU55</f>
        <v>65</v>
      </c>
      <c r="E148" s="4"/>
      <c r="F148" s="4"/>
      <c r="G148" s="35">
        <f>Source!Y55</f>
        <v>10.76</v>
      </c>
    </row>
    <row r="150" spans="1:11" ht="24">
      <c r="A150" s="27" t="str">
        <f>Source!E56</f>
        <v>14,1</v>
      </c>
      <c r="B150" s="27">
        <f>Source!F56</f>
        <v>0</v>
      </c>
      <c r="C150" s="28" t="str">
        <f>Source!G56</f>
        <v>Металлорукав</v>
      </c>
      <c r="D150" s="5">
        <f>Source!I56</f>
        <v>5</v>
      </c>
      <c r="E150" s="30">
        <f>Source!AB56</f>
        <v>11.367999999999999</v>
      </c>
      <c r="F150" s="30">
        <f>Source!AD56</f>
        <v>0</v>
      </c>
      <c r="G150" s="6">
        <f>Source!O56</f>
        <v>56.84</v>
      </c>
      <c r="H150" s="6">
        <f>Source!S56</f>
        <v>0</v>
      </c>
      <c r="I150" s="31">
        <f>Source!Q56</f>
        <v>0</v>
      </c>
      <c r="J150" s="30">
        <f>Source!AH56</f>
        <v>0</v>
      </c>
      <c r="K150" s="31">
        <f>Source!U56</f>
        <v>0</v>
      </c>
    </row>
    <row r="151" spans="3:11" ht="12.75">
      <c r="C151" s="29" t="str">
        <f>Source!H56</f>
        <v>м</v>
      </c>
      <c r="D151" s="5"/>
      <c r="E151" s="5">
        <f>Source!AF56</f>
        <v>0</v>
      </c>
      <c r="F151" s="5">
        <f>Source!AE56</f>
        <v>0</v>
      </c>
      <c r="G151" s="6"/>
      <c r="H151" s="6"/>
      <c r="I151" s="6">
        <f>Source!R56</f>
        <v>0</v>
      </c>
      <c r="J151" s="5">
        <f>Source!AI56</f>
        <v>0</v>
      </c>
      <c r="K151" s="6">
        <f>Source!V56</f>
        <v>0</v>
      </c>
    </row>
    <row r="152" spans="3:4" ht="12.75">
      <c r="C152" s="32" t="s">
        <v>578</v>
      </c>
      <c r="D152" s="33" t="str">
        <f>Source!BO56</f>
        <v>201-9233</v>
      </c>
    </row>
    <row r="153" spans="1:11" ht="48">
      <c r="A153" s="27" t="str">
        <f>Source!E57</f>
        <v>15</v>
      </c>
      <c r="B153" s="27" t="str">
        <f>Source!F57</f>
        <v>м08-03-574-1</v>
      </c>
      <c r="C153" s="28" t="str">
        <f>Source!G57</f>
        <v>Разводка по устройствам и подключение жил кабелей или проводов внешней сети к блокам зажимов и к зажимам на устройствах: Кабели или провода, сечение, мм2, до 10</v>
      </c>
      <c r="D153" s="5">
        <f>Source!I57</f>
        <v>0.4</v>
      </c>
      <c r="E153" s="30">
        <f>Source!AB57</f>
        <v>290.028</v>
      </c>
      <c r="F153" s="30">
        <f>Source!AD57</f>
        <v>2.06</v>
      </c>
      <c r="G153" s="6">
        <f>Source!O57</f>
        <v>116.01</v>
      </c>
      <c r="H153" s="6">
        <f>Source!S57</f>
        <v>66.6</v>
      </c>
      <c r="I153" s="31">
        <f>Source!Q57</f>
        <v>0.82</v>
      </c>
      <c r="J153" s="30">
        <f>Source!AH57</f>
        <v>16.8</v>
      </c>
      <c r="K153" s="31">
        <f>Source!U57</f>
        <v>6.72</v>
      </c>
    </row>
    <row r="154" spans="3:11" ht="12.75">
      <c r="C154" s="29" t="str">
        <f>Source!H57</f>
        <v>100 шт.</v>
      </c>
      <c r="D154" s="5"/>
      <c r="E154" s="5">
        <f>Source!AF57</f>
        <v>166.49</v>
      </c>
      <c r="F154" s="5">
        <f>Source!AE57</f>
        <v>0.24</v>
      </c>
      <c r="G154" s="6"/>
      <c r="H154" s="6"/>
      <c r="I154" s="6">
        <f>Source!R57</f>
        <v>0.1</v>
      </c>
      <c r="J154" s="5">
        <f>Source!AI57</f>
        <v>0.02</v>
      </c>
      <c r="K154" s="6">
        <f>Source!V57</f>
        <v>0.01</v>
      </c>
    </row>
    <row r="155" spans="3:4" ht="12.75">
      <c r="C155" s="32" t="s">
        <v>578</v>
      </c>
      <c r="D155" s="33" t="str">
        <f>Source!BO57</f>
        <v>м08-03-574-1</v>
      </c>
    </row>
    <row r="156" spans="3:7" ht="12.75">
      <c r="C156" s="34" t="s">
        <v>579</v>
      </c>
      <c r="D156" s="4">
        <f>Source!AT57</f>
        <v>95</v>
      </c>
      <c r="E156" s="4"/>
      <c r="F156" s="4"/>
      <c r="G156" s="35">
        <f>Source!X57</f>
        <v>63.37</v>
      </c>
    </row>
    <row r="157" spans="3:7" ht="12.75">
      <c r="C157" s="34" t="s">
        <v>580</v>
      </c>
      <c r="D157" s="4">
        <f>Source!AU57</f>
        <v>65</v>
      </c>
      <c r="E157" s="4"/>
      <c r="F157" s="4"/>
      <c r="G157" s="35">
        <f>Source!Y57</f>
        <v>43.36</v>
      </c>
    </row>
    <row r="159" spans="1:11" ht="24">
      <c r="A159" s="27" t="str">
        <f>Source!E58</f>
        <v>15,1</v>
      </c>
      <c r="B159" s="27">
        <f>Source!F58</f>
        <v>0</v>
      </c>
      <c r="C159" s="28" t="str">
        <f>Source!G58</f>
        <v>Hаконечники кабельные</v>
      </c>
      <c r="D159" s="5">
        <f>Source!I58</f>
        <v>40.800000000000004</v>
      </c>
      <c r="E159" s="30">
        <f>Source!AB58</f>
        <v>79.96799999999999</v>
      </c>
      <c r="F159" s="30">
        <f>Source!AD58</f>
        <v>0</v>
      </c>
      <c r="G159" s="6">
        <f>Source!O58</f>
        <v>3262.69</v>
      </c>
      <c r="H159" s="6">
        <f>Source!S58</f>
        <v>0</v>
      </c>
      <c r="I159" s="31">
        <f>Source!Q58</f>
        <v>0</v>
      </c>
      <c r="J159" s="30">
        <f>Source!AH58</f>
        <v>0</v>
      </c>
      <c r="K159" s="31">
        <f>Source!U58</f>
        <v>0</v>
      </c>
    </row>
    <row r="160" spans="3:11" ht="12.75">
      <c r="C160" s="29" t="str">
        <f>Source!H58</f>
        <v>шт.</v>
      </c>
      <c r="D160" s="5"/>
      <c r="E160" s="5">
        <f>Source!AF58</f>
        <v>0</v>
      </c>
      <c r="F160" s="5">
        <f>Source!AE58</f>
        <v>0</v>
      </c>
      <c r="G160" s="6"/>
      <c r="H160" s="6"/>
      <c r="I160" s="6">
        <f>Source!R58</f>
        <v>0</v>
      </c>
      <c r="J160" s="5">
        <f>Source!AI58</f>
        <v>0</v>
      </c>
      <c r="K160" s="6">
        <f>Source!V58</f>
        <v>0</v>
      </c>
    </row>
    <row r="161" spans="3:4" ht="12.75">
      <c r="C161" s="32" t="s">
        <v>578</v>
      </c>
      <c r="D161" s="33" t="str">
        <f>Source!BO58</f>
        <v>500-9062</v>
      </c>
    </row>
    <row r="164" spans="3:11" ht="12.75">
      <c r="C164" s="36" t="s">
        <v>581</v>
      </c>
      <c r="D164" s="66" t="str">
        <f>IF(Source!C12="1",Source!F60,Source!G60)</f>
        <v>Монтажные работы</v>
      </c>
      <c r="E164" s="66"/>
      <c r="F164" s="66"/>
      <c r="G164" s="66"/>
      <c r="H164" s="66"/>
      <c r="I164" s="66"/>
      <c r="J164" s="66"/>
      <c r="K164" s="66"/>
    </row>
    <row r="166" spans="3:8" ht="12.75">
      <c r="C166" s="64" t="str">
        <f>Source!H62</f>
        <v>Прямые затраты</v>
      </c>
      <c r="D166" s="64"/>
      <c r="E166" s="64"/>
      <c r="F166" s="64"/>
      <c r="G166" s="7">
        <f>Source!F62</f>
        <v>10531.81</v>
      </c>
      <c r="H166" s="5"/>
    </row>
    <row r="168" spans="3:8" ht="12.75">
      <c r="C168" s="64" t="str">
        <f>Source!H63</f>
        <v>Стоимость материалов</v>
      </c>
      <c r="D168" s="64"/>
      <c r="E168" s="64"/>
      <c r="F168" s="64"/>
      <c r="G168" s="7">
        <f>Source!F63</f>
        <v>8948.74</v>
      </c>
      <c r="H168" s="5"/>
    </row>
    <row r="170" spans="3:8" ht="12.75">
      <c r="C170" s="64" t="str">
        <f>Source!H64</f>
        <v>Эксплуатация машин</v>
      </c>
      <c r="D170" s="64"/>
      <c r="E170" s="64"/>
      <c r="F170" s="64"/>
      <c r="G170" s="7">
        <f>Source!F64</f>
        <v>342.21</v>
      </c>
      <c r="H170" s="5"/>
    </row>
    <row r="172" spans="3:8" ht="12.75">
      <c r="C172" s="64" t="str">
        <f>Source!H65</f>
        <v>ЗП машинистов</v>
      </c>
      <c r="D172" s="64"/>
      <c r="E172" s="64"/>
      <c r="F172" s="64"/>
      <c r="G172" s="7">
        <f>Source!F65</f>
        <v>50.64</v>
      </c>
      <c r="H172" s="5"/>
    </row>
    <row r="174" spans="3:8" ht="12.75">
      <c r="C174" s="64" t="str">
        <f>Source!H66</f>
        <v>Основная ЗП рабочих</v>
      </c>
      <c r="D174" s="64"/>
      <c r="E174" s="64"/>
      <c r="F174" s="64"/>
      <c r="G174" s="7">
        <f>Source!F66</f>
        <v>1240.86</v>
      </c>
      <c r="H174" s="5"/>
    </row>
    <row r="176" spans="3:8" ht="12.75">
      <c r="C176" s="64" t="str">
        <f>Source!H68</f>
        <v>Трудозатраты строителей</v>
      </c>
      <c r="D176" s="64"/>
      <c r="E176" s="64"/>
      <c r="F176" s="64"/>
      <c r="G176" s="7">
        <f>Source!F68</f>
        <v>127.23</v>
      </c>
      <c r="H176" s="5"/>
    </row>
    <row r="178" spans="3:8" ht="12.75">
      <c r="C178" s="64" t="str">
        <f>Source!H69</f>
        <v>Трудозатраты машинистов</v>
      </c>
      <c r="D178" s="64"/>
      <c r="E178" s="64"/>
      <c r="F178" s="64"/>
      <c r="G178" s="7">
        <f>Source!F69</f>
        <v>3.55</v>
      </c>
      <c r="H178" s="5"/>
    </row>
    <row r="180" spans="3:8" ht="12.75">
      <c r="C180" s="64" t="str">
        <f>Source!H71</f>
        <v>Накладные расходы</v>
      </c>
      <c r="D180" s="64"/>
      <c r="E180" s="64"/>
      <c r="F180" s="64"/>
      <c r="G180" s="7">
        <f>Source!F71</f>
        <v>1073.29</v>
      </c>
      <c r="H180" s="5"/>
    </row>
    <row r="182" spans="3:8" ht="12.75">
      <c r="C182" s="64" t="str">
        <f>Source!H72</f>
        <v>Сметная прибыль</v>
      </c>
      <c r="D182" s="64"/>
      <c r="E182" s="64"/>
      <c r="F182" s="64"/>
      <c r="G182" s="7">
        <f>Source!F72</f>
        <v>788.25</v>
      </c>
      <c r="H182" s="5"/>
    </row>
    <row r="185" spans="3:11" ht="15.75">
      <c r="C185" s="26" t="s">
        <v>577</v>
      </c>
      <c r="D185" s="65" t="str">
        <f>IF(Source!C12="1",Source!F74,Source!G74)</f>
        <v>Щит автоматики - оборудование</v>
      </c>
      <c r="E185" s="65"/>
      <c r="F185" s="65"/>
      <c r="G185" s="65"/>
      <c r="H185" s="65"/>
      <c r="I185" s="65"/>
      <c r="J185" s="65"/>
      <c r="K185" s="65"/>
    </row>
    <row r="187" spans="1:11" ht="48">
      <c r="A187" s="27" t="str">
        <f>Source!E78</f>
        <v>2</v>
      </c>
      <c r="B187" s="27" t="str">
        <f>Source!F78</f>
        <v>м08-03-526-2</v>
      </c>
      <c r="C187" s="28" t="str">
        <f>Source!G78</f>
        <v>Выключатели установочные автоматические (автоматы) или неавтоматические: Автомат одно-, двух-, трехполюсный, устанавливаемый на конструкции на стене или колонне, на ток, А, до 100</v>
      </c>
      <c r="D187" s="5">
        <f>Source!I78</f>
        <v>1</v>
      </c>
      <c r="E187" s="30">
        <f>Source!AB78</f>
        <v>111.182</v>
      </c>
      <c r="F187" s="30">
        <f>Source!AD78</f>
        <v>1.79</v>
      </c>
      <c r="G187" s="6">
        <f>Source!O78</f>
        <v>111.18</v>
      </c>
      <c r="H187" s="6">
        <f>Source!S78</f>
        <v>22.06</v>
      </c>
      <c r="I187" s="31">
        <f>Source!Q78</f>
        <v>1.79</v>
      </c>
      <c r="J187" s="30">
        <f>Source!AH78</f>
        <v>2.32</v>
      </c>
      <c r="K187" s="31">
        <f>Source!U78</f>
        <v>2.32</v>
      </c>
    </row>
    <row r="188" spans="3:11" ht="12.75">
      <c r="C188" s="29" t="str">
        <f>Source!H78</f>
        <v>шт.</v>
      </c>
      <c r="D188" s="5"/>
      <c r="E188" s="5">
        <f>Source!AF78</f>
        <v>22.06</v>
      </c>
      <c r="F188" s="5">
        <f>Source!AE78</f>
        <v>0.12</v>
      </c>
      <c r="G188" s="6"/>
      <c r="H188" s="6"/>
      <c r="I188" s="6">
        <f>Source!R78</f>
        <v>0.12</v>
      </c>
      <c r="J188" s="5">
        <f>Source!AI78</f>
        <v>0.01</v>
      </c>
      <c r="K188" s="6">
        <f>Source!V78</f>
        <v>0.01</v>
      </c>
    </row>
    <row r="189" spans="3:4" ht="12.75">
      <c r="C189" s="32" t="s">
        <v>578</v>
      </c>
      <c r="D189" s="33" t="str">
        <f>Source!BO78</f>
        <v>м08-03-526-2</v>
      </c>
    </row>
    <row r="190" spans="3:7" ht="12.75">
      <c r="C190" s="34" t="s">
        <v>579</v>
      </c>
      <c r="D190" s="4">
        <f>Source!AT78</f>
        <v>95</v>
      </c>
      <c r="E190" s="4"/>
      <c r="F190" s="4"/>
      <c r="G190" s="35">
        <f>Source!X78</f>
        <v>21.07</v>
      </c>
    </row>
    <row r="191" spans="3:7" ht="12.75">
      <c r="C191" s="34" t="s">
        <v>580</v>
      </c>
      <c r="D191" s="4">
        <f>Source!AU78</f>
        <v>65</v>
      </c>
      <c r="E191" s="4"/>
      <c r="F191" s="4"/>
      <c r="G191" s="35">
        <f>Source!Y78</f>
        <v>14.42</v>
      </c>
    </row>
    <row r="193" spans="1:11" ht="12.75">
      <c r="A193" s="27" t="str">
        <f>Source!E79</f>
        <v>2,1</v>
      </c>
      <c r="B193" s="27">
        <f>Source!F79</f>
      </c>
      <c r="C193" s="28" t="str">
        <f>Source!G79</f>
        <v>Выключатель автоматический</v>
      </c>
      <c r="D193" s="5">
        <f>Source!I79</f>
        <v>1</v>
      </c>
      <c r="E193" s="30">
        <f>Source!AB79</f>
        <v>58.044</v>
      </c>
      <c r="F193" s="30">
        <f>Source!AD79</f>
        <v>0</v>
      </c>
      <c r="G193" s="6">
        <f>Source!O79</f>
        <v>58.04</v>
      </c>
      <c r="H193" s="6">
        <f>Source!S79</f>
        <v>0</v>
      </c>
      <c r="I193" s="31">
        <f>Source!Q79</f>
        <v>0</v>
      </c>
      <c r="J193" s="30">
        <f>Source!AH79</f>
        <v>0</v>
      </c>
      <c r="K193" s="31">
        <f>Source!U79</f>
        <v>0</v>
      </c>
    </row>
    <row r="194" spans="3:11" ht="12.75">
      <c r="C194" s="29" t="str">
        <f>Source!H79</f>
        <v>ШТ</v>
      </c>
      <c r="D194" s="5"/>
      <c r="E194" s="5">
        <f>Source!AF79</f>
        <v>0</v>
      </c>
      <c r="F194" s="5">
        <f>Source!AE79</f>
        <v>0</v>
      </c>
      <c r="G194" s="6"/>
      <c r="H194" s="6"/>
      <c r="I194" s="6">
        <f>Source!R79</f>
        <v>0</v>
      </c>
      <c r="J194" s="5">
        <f>Source!AI79</f>
        <v>0</v>
      </c>
      <c r="K194" s="6">
        <f>Source!V79</f>
        <v>0</v>
      </c>
    </row>
    <row r="195" spans="1:11" ht="48">
      <c r="A195" s="27" t="str">
        <f>Source!E80</f>
        <v>3</v>
      </c>
      <c r="B195" s="27" t="str">
        <f>Source!F80</f>
        <v>м08-01-081-1</v>
      </c>
      <c r="C195" s="28" t="str">
        <f>Source!G80</f>
        <v>Аппараты управления и сигнализации: Аппарат (кнопка, ключ управления, замок электромагнитной блокировки, звуковой сигнал, сигнальная лампа), количество подключаемых концов, до 2</v>
      </c>
      <c r="D195" s="5">
        <f>Source!I80</f>
        <v>12</v>
      </c>
      <c r="E195" s="30">
        <f>Source!AB80</f>
        <v>20.788</v>
      </c>
      <c r="F195" s="30">
        <f>Source!AD80</f>
        <v>8.22</v>
      </c>
      <c r="G195" s="6">
        <f>Source!O80</f>
        <v>249.46</v>
      </c>
      <c r="H195" s="6">
        <f>Source!S80</f>
        <v>130.32</v>
      </c>
      <c r="I195" s="31">
        <f>Source!Q80</f>
        <v>98.64</v>
      </c>
      <c r="J195" s="30">
        <f>Source!AH80</f>
        <v>1.13</v>
      </c>
      <c r="K195" s="31">
        <f>Source!U80</f>
        <v>13.56</v>
      </c>
    </row>
    <row r="196" spans="3:11" ht="12.75">
      <c r="C196" s="29" t="str">
        <f>Source!H80</f>
        <v>шт.</v>
      </c>
      <c r="D196" s="5"/>
      <c r="E196" s="5">
        <f>Source!AF80</f>
        <v>10.86</v>
      </c>
      <c r="F196" s="5">
        <f>Source!AE80</f>
        <v>0.94</v>
      </c>
      <c r="G196" s="6"/>
      <c r="H196" s="6"/>
      <c r="I196" s="6">
        <f>Source!R80</f>
        <v>11.28</v>
      </c>
      <c r="J196" s="5">
        <f>Source!AI80</f>
        <v>0.08</v>
      </c>
      <c r="K196" s="6">
        <f>Source!V80</f>
        <v>0.96</v>
      </c>
    </row>
    <row r="197" spans="3:4" ht="12.75">
      <c r="C197" s="32" t="s">
        <v>578</v>
      </c>
      <c r="D197" s="33" t="str">
        <f>Source!BO80</f>
        <v>м08-01-081-1</v>
      </c>
    </row>
    <row r="198" spans="3:7" ht="12.75">
      <c r="C198" s="34" t="s">
        <v>579</v>
      </c>
      <c r="D198" s="4">
        <f>Source!AT80</f>
        <v>95</v>
      </c>
      <c r="E198" s="4"/>
      <c r="F198" s="4"/>
      <c r="G198" s="35">
        <f>Source!X80</f>
        <v>134.52</v>
      </c>
    </row>
    <row r="199" spans="3:7" ht="12.75">
      <c r="C199" s="34" t="s">
        <v>580</v>
      </c>
      <c r="D199" s="4">
        <f>Source!AU80</f>
        <v>65</v>
      </c>
      <c r="E199" s="4"/>
      <c r="F199" s="4"/>
      <c r="G199" s="35">
        <f>Source!Y80</f>
        <v>92.04</v>
      </c>
    </row>
    <row r="201" spans="1:11" ht="12.75">
      <c r="A201" s="27" t="str">
        <f>Source!E81</f>
        <v>3,1</v>
      </c>
      <c r="B201" s="27">
        <f>Source!F81</f>
      </c>
      <c r="C201" s="28" t="str">
        <f>Source!G81</f>
        <v>Кнопки цепей управления</v>
      </c>
      <c r="D201" s="5">
        <f>Source!I81</f>
        <v>3.999996</v>
      </c>
      <c r="E201" s="30">
        <f>Source!AB81</f>
        <v>36.372</v>
      </c>
      <c r="F201" s="30">
        <f>Source!AD81</f>
        <v>0</v>
      </c>
      <c r="G201" s="6">
        <f>Source!O81</f>
        <v>145.49</v>
      </c>
      <c r="H201" s="6">
        <f>Source!S81</f>
        <v>0</v>
      </c>
      <c r="I201" s="31">
        <f>Source!Q81</f>
        <v>0</v>
      </c>
      <c r="J201" s="30">
        <f>Source!AH81</f>
        <v>0</v>
      </c>
      <c r="K201" s="31">
        <f>Source!U81</f>
        <v>0</v>
      </c>
    </row>
    <row r="202" spans="3:11" ht="12.75">
      <c r="C202" s="29" t="str">
        <f>Source!H81</f>
        <v>ШТ</v>
      </c>
      <c r="D202" s="5"/>
      <c r="E202" s="5">
        <f>Source!AF81</f>
        <v>0</v>
      </c>
      <c r="F202" s="5">
        <f>Source!AE81</f>
        <v>0</v>
      </c>
      <c r="G202" s="6"/>
      <c r="H202" s="6"/>
      <c r="I202" s="6">
        <f>Source!R81</f>
        <v>0</v>
      </c>
      <c r="J202" s="5">
        <f>Source!AI81</f>
        <v>0</v>
      </c>
      <c r="K202" s="6">
        <f>Source!V81</f>
        <v>0</v>
      </c>
    </row>
    <row r="203" spans="1:11" ht="12.75">
      <c r="A203" s="27" t="str">
        <f>Source!E82</f>
        <v>3,2</v>
      </c>
      <c r="B203" s="27">
        <f>Source!F82</f>
      </c>
      <c r="C203" s="28" t="str">
        <f>Source!G82</f>
        <v>Реле промежуточные электромагнитные серии ПЭ</v>
      </c>
      <c r="D203" s="5">
        <v>2</v>
      </c>
      <c r="E203" s="30">
        <f>Source!AB82</f>
        <v>251.804</v>
      </c>
      <c r="F203" s="30">
        <f>Source!AD82</f>
        <v>0</v>
      </c>
      <c r="G203" s="6">
        <f>+D203*E203</f>
        <v>503.608</v>
      </c>
      <c r="H203" s="6">
        <f>Source!S82</f>
        <v>0</v>
      </c>
      <c r="I203" s="31">
        <f>Source!Q82</f>
        <v>0</v>
      </c>
      <c r="J203" s="30">
        <f>Source!AH82</f>
        <v>0</v>
      </c>
      <c r="K203" s="31">
        <f>Source!U82</f>
        <v>0</v>
      </c>
    </row>
    <row r="204" spans="3:11" ht="12.75">
      <c r="C204" s="29" t="str">
        <f>Source!H82</f>
        <v>ШТ</v>
      </c>
      <c r="D204" s="5"/>
      <c r="E204" s="5">
        <f>Source!AF82</f>
        <v>0</v>
      </c>
      <c r="F204" s="5">
        <f>Source!AE82</f>
        <v>0</v>
      </c>
      <c r="G204" s="6"/>
      <c r="H204" s="6"/>
      <c r="I204" s="6">
        <f>Source!R82</f>
        <v>0</v>
      </c>
      <c r="J204" s="5">
        <f>Source!AI82</f>
        <v>0</v>
      </c>
      <c r="K204" s="6">
        <f>Source!V82</f>
        <v>0</v>
      </c>
    </row>
    <row r="205" spans="1:11" ht="12.75">
      <c r="A205" s="27" t="str">
        <f>Source!E83</f>
        <v>3,3</v>
      </c>
      <c r="B205" s="27">
        <f>Source!F83</f>
      </c>
      <c r="C205" s="28" t="str">
        <f>Source!G83</f>
        <v>Реле промежуточные электромагнитные серии РКВ</v>
      </c>
      <c r="D205" s="5">
        <v>1</v>
      </c>
      <c r="E205" s="30">
        <f>Source!AB83</f>
        <v>447.664</v>
      </c>
      <c r="F205" s="30">
        <f>Source!AD83</f>
        <v>0</v>
      </c>
      <c r="G205" s="6">
        <f>+D205*E205</f>
        <v>447.664</v>
      </c>
      <c r="H205" s="6">
        <f>Source!S83</f>
        <v>0</v>
      </c>
      <c r="I205" s="31">
        <f>Source!Q83</f>
        <v>0</v>
      </c>
      <c r="J205" s="30">
        <f>Source!AH83</f>
        <v>0</v>
      </c>
      <c r="K205" s="31">
        <f>Source!U83</f>
        <v>0</v>
      </c>
    </row>
    <row r="206" spans="3:11" ht="12.75">
      <c r="C206" s="29" t="str">
        <f>Source!H83</f>
        <v>ШТ</v>
      </c>
      <c r="D206" s="5"/>
      <c r="E206" s="5">
        <f>Source!AF83</f>
        <v>0</v>
      </c>
      <c r="F206" s="5">
        <f>Source!AE83</f>
        <v>0</v>
      </c>
      <c r="G206" s="6"/>
      <c r="H206" s="6"/>
      <c r="I206" s="6">
        <f>Source!R83</f>
        <v>0</v>
      </c>
      <c r="J206" s="5">
        <f>Source!AI83</f>
        <v>0</v>
      </c>
      <c r="K206" s="6">
        <f>Source!V83</f>
        <v>0</v>
      </c>
    </row>
    <row r="207" spans="1:11" ht="60">
      <c r="A207" s="27" t="str">
        <f>Source!E84</f>
        <v>4</v>
      </c>
      <c r="B207" s="27" t="str">
        <f>Source!F84</f>
        <v>м08-03-522-1</v>
      </c>
      <c r="C207" s="28" t="str">
        <f>Source!G84</f>
        <v>Переключатели (рубильники переключающие):  Переключатель на плите с центральной или боковой рукояткой или управлением штангой, устанавливаемый на металлическом основании, однополюсный на ток, А, до 250</v>
      </c>
      <c r="D207" s="5">
        <f>Source!I84</f>
        <v>2</v>
      </c>
      <c r="E207" s="30">
        <f>Source!AB84</f>
        <v>39.327999999999996</v>
      </c>
      <c r="F207" s="30">
        <f>Source!AD84</f>
        <v>1.2</v>
      </c>
      <c r="G207" s="6">
        <f>Source!O84</f>
        <v>78.66</v>
      </c>
      <c r="H207" s="6">
        <f>Source!S84</f>
        <v>34.48</v>
      </c>
      <c r="I207" s="31">
        <f>Source!Q84</f>
        <v>2.4</v>
      </c>
      <c r="J207" s="30">
        <f>Source!AH84</f>
        <v>1.62</v>
      </c>
      <c r="K207" s="31">
        <f>Source!U84</f>
        <v>3.24</v>
      </c>
    </row>
    <row r="208" spans="3:11" ht="12.75">
      <c r="C208" s="29" t="str">
        <f>Source!H84</f>
        <v>шт.</v>
      </c>
      <c r="D208" s="5"/>
      <c r="E208" s="5">
        <f>Source!AF84</f>
        <v>17.24</v>
      </c>
      <c r="F208" s="5">
        <f>Source!AE84</f>
        <v>0.1</v>
      </c>
      <c r="G208" s="6"/>
      <c r="H208" s="6"/>
      <c r="I208" s="6">
        <f>Source!R84</f>
        <v>0.2</v>
      </c>
      <c r="J208" s="5">
        <f>Source!AI84</f>
        <v>0.008</v>
      </c>
      <c r="K208" s="6">
        <f>Source!V84</f>
        <v>0.02</v>
      </c>
    </row>
    <row r="209" spans="3:4" ht="12.75">
      <c r="C209" s="32" t="s">
        <v>578</v>
      </c>
      <c r="D209" s="33" t="str">
        <f>Source!BO84</f>
        <v>м08-03-522-1</v>
      </c>
    </row>
    <row r="210" spans="3:7" ht="12.75">
      <c r="C210" s="34" t="s">
        <v>579</v>
      </c>
      <c r="D210" s="4">
        <f>Source!AT84</f>
        <v>95</v>
      </c>
      <c r="E210" s="4"/>
      <c r="F210" s="4"/>
      <c r="G210" s="35">
        <f>Source!X84</f>
        <v>32.95</v>
      </c>
    </row>
    <row r="211" spans="3:7" ht="12.75">
      <c r="C211" s="34" t="s">
        <v>580</v>
      </c>
      <c r="D211" s="4">
        <f>Source!AU84</f>
        <v>65</v>
      </c>
      <c r="E211" s="4"/>
      <c r="F211" s="4"/>
      <c r="G211" s="35">
        <f>Source!Y84</f>
        <v>22.54</v>
      </c>
    </row>
    <row r="213" spans="1:11" ht="12.75">
      <c r="A213" s="27" t="str">
        <f>Source!E85</f>
        <v>4,1</v>
      </c>
      <c r="B213" s="27">
        <f>Source!F85</f>
      </c>
      <c r="C213" s="28" t="str">
        <f>Source!G85</f>
        <v>Переключатель путевой бесконтактный БВК</v>
      </c>
      <c r="D213" s="5">
        <f>Source!I85</f>
        <v>1</v>
      </c>
      <c r="E213" s="30">
        <f>Source!AB85</f>
        <v>167.874</v>
      </c>
      <c r="F213" s="30">
        <f>Source!AD85</f>
        <v>0</v>
      </c>
      <c r="G213" s="6">
        <f>Source!O85</f>
        <v>167.87</v>
      </c>
      <c r="H213" s="6">
        <f>Source!S85</f>
        <v>0</v>
      </c>
      <c r="I213" s="31">
        <f>Source!Q85</f>
        <v>0</v>
      </c>
      <c r="J213" s="30">
        <f>Source!AH85</f>
        <v>0</v>
      </c>
      <c r="K213" s="31">
        <f>Source!U85</f>
        <v>0</v>
      </c>
    </row>
    <row r="214" spans="3:11" ht="12.75">
      <c r="C214" s="29" t="str">
        <f>Source!H85</f>
        <v>ШТ</v>
      </c>
      <c r="D214" s="5"/>
      <c r="E214" s="5">
        <f>Source!AF85</f>
        <v>0</v>
      </c>
      <c r="F214" s="5">
        <f>Source!AE85</f>
        <v>0</v>
      </c>
      <c r="G214" s="6"/>
      <c r="H214" s="6"/>
      <c r="I214" s="6">
        <f>Source!R85</f>
        <v>0</v>
      </c>
      <c r="J214" s="5">
        <f>Source!AI85</f>
        <v>0</v>
      </c>
      <c r="K214" s="6">
        <f>Source!V85</f>
        <v>0</v>
      </c>
    </row>
    <row r="215" spans="1:11" ht="24">
      <c r="A215" s="27" t="str">
        <f>Source!E86</f>
        <v>4,2</v>
      </c>
      <c r="B215" s="27">
        <f>Source!F86</f>
      </c>
      <c r="C215" s="28" t="str">
        <f>Source!G86</f>
        <v>Выключатели, тумблеры, переключатели сетевые, концевые ТВ1</v>
      </c>
      <c r="D215" s="5">
        <f>Source!I86</f>
        <v>1</v>
      </c>
      <c r="E215" s="30">
        <f>Source!AB86</f>
        <v>66.038</v>
      </c>
      <c r="F215" s="30">
        <f>Source!AD86</f>
        <v>0</v>
      </c>
      <c r="G215" s="6">
        <f>Source!O86</f>
        <v>66.04</v>
      </c>
      <c r="H215" s="6">
        <f>Source!S86</f>
        <v>0</v>
      </c>
      <c r="I215" s="31">
        <f>Source!Q86</f>
        <v>0</v>
      </c>
      <c r="J215" s="30">
        <f>Source!AH86</f>
        <v>0</v>
      </c>
      <c r="K215" s="31">
        <f>Source!U86</f>
        <v>0</v>
      </c>
    </row>
    <row r="216" spans="3:11" ht="12.75">
      <c r="C216" s="29" t="str">
        <f>Source!H86</f>
        <v>ШТ</v>
      </c>
      <c r="D216" s="5"/>
      <c r="E216" s="5">
        <f>Source!AF86</f>
        <v>0</v>
      </c>
      <c r="F216" s="5">
        <f>Source!AE86</f>
        <v>0</v>
      </c>
      <c r="G216" s="6"/>
      <c r="H216" s="6"/>
      <c r="I216" s="6">
        <f>Source!R86</f>
        <v>0</v>
      </c>
      <c r="J216" s="5">
        <f>Source!AI86</f>
        <v>0</v>
      </c>
      <c r="K216" s="6">
        <f>Source!V86</f>
        <v>0</v>
      </c>
    </row>
    <row r="217" spans="1:11" ht="48">
      <c r="A217" s="27" t="str">
        <f>Source!E87</f>
        <v>5</v>
      </c>
      <c r="B217" s="27" t="str">
        <f>Source!F87</f>
        <v>м08-01-081-1</v>
      </c>
      <c r="C217" s="28" t="str">
        <f>Source!G87</f>
        <v>Аппараты управления и сигнализации: Аппарат (кнопка, ключ управления, замок электромагнитной блокировки, звуковой сигнал, сигнальная лампа), количество подключаемых концов, до 2</v>
      </c>
      <c r="D217" s="5">
        <f>Source!I87</f>
        <v>8</v>
      </c>
      <c r="E217" s="30">
        <f>Source!AB87</f>
        <v>20.788</v>
      </c>
      <c r="F217" s="30">
        <f>Source!AD87</f>
        <v>8.22</v>
      </c>
      <c r="G217" s="6">
        <f>Source!O87</f>
        <v>166.3</v>
      </c>
      <c r="H217" s="6">
        <f>Source!S87</f>
        <v>86.88</v>
      </c>
      <c r="I217" s="31">
        <f>Source!Q87</f>
        <v>65.76</v>
      </c>
      <c r="J217" s="30">
        <f>Source!AH87</f>
        <v>1.13</v>
      </c>
      <c r="K217" s="31">
        <f>Source!U87</f>
        <v>9.04</v>
      </c>
    </row>
    <row r="218" spans="3:11" ht="12.75">
      <c r="C218" s="29" t="str">
        <f>Source!H87</f>
        <v>шт.</v>
      </c>
      <c r="D218" s="5"/>
      <c r="E218" s="5">
        <f>Source!AF87</f>
        <v>10.86</v>
      </c>
      <c r="F218" s="5">
        <f>Source!AE87</f>
        <v>0.94</v>
      </c>
      <c r="G218" s="6"/>
      <c r="H218" s="6"/>
      <c r="I218" s="6">
        <f>Source!R87</f>
        <v>7.52</v>
      </c>
      <c r="J218" s="5">
        <f>Source!AI87</f>
        <v>0.08</v>
      </c>
      <c r="K218" s="6">
        <f>Source!V87</f>
        <v>0.64</v>
      </c>
    </row>
    <row r="219" spans="3:4" ht="12.75">
      <c r="C219" s="32" t="s">
        <v>578</v>
      </c>
      <c r="D219" s="33" t="str">
        <f>Source!BO87</f>
        <v>м08-01-081-1</v>
      </c>
    </row>
    <row r="220" spans="3:7" ht="12.75">
      <c r="C220" s="34" t="s">
        <v>579</v>
      </c>
      <c r="D220" s="4">
        <f>Source!AT87</f>
        <v>95</v>
      </c>
      <c r="E220" s="4"/>
      <c r="F220" s="4"/>
      <c r="G220" s="35">
        <f>Source!X87</f>
        <v>89.68</v>
      </c>
    </row>
    <row r="221" spans="3:7" ht="12.75">
      <c r="C221" s="34" t="s">
        <v>580</v>
      </c>
      <c r="D221" s="4">
        <f>Source!AU87</f>
        <v>65</v>
      </c>
      <c r="E221" s="4"/>
      <c r="F221" s="4"/>
      <c r="G221" s="35">
        <f>Source!Y87</f>
        <v>61.36</v>
      </c>
    </row>
    <row r="223" spans="1:11" ht="12.75">
      <c r="A223" s="27" t="str">
        <f>Source!E88</f>
        <v>6</v>
      </c>
      <c r="B223" s="27" t="str">
        <f>Source!F88</f>
        <v>м08-01-082-1</v>
      </c>
      <c r="C223" s="28" t="str">
        <f>Source!G88</f>
        <v>Зажимы наборные:  Зажим без кожуха</v>
      </c>
      <c r="D223" s="5">
        <f>Source!I88</f>
        <v>0.3</v>
      </c>
      <c r="E223" s="30">
        <f>Source!AB88</f>
        <v>11502.681999999999</v>
      </c>
      <c r="F223" s="30">
        <f>Source!AD88</f>
        <v>23.17</v>
      </c>
      <c r="G223" s="6">
        <f>Source!O88</f>
        <v>3450.8</v>
      </c>
      <c r="H223" s="6">
        <f>Source!S88</f>
        <v>135.5</v>
      </c>
      <c r="I223" s="31">
        <f>Source!Q88</f>
        <v>6.95</v>
      </c>
      <c r="J223" s="30">
        <f>Source!AH88</f>
        <v>47</v>
      </c>
      <c r="K223" s="31">
        <f>Source!U88</f>
        <v>14.1</v>
      </c>
    </row>
    <row r="224" spans="3:11" ht="12.75">
      <c r="C224" s="29" t="str">
        <f>Source!H88</f>
        <v>100 шт.</v>
      </c>
      <c r="D224" s="5"/>
      <c r="E224" s="5">
        <f>Source!AF88</f>
        <v>451.67</v>
      </c>
      <c r="F224" s="5">
        <f>Source!AE88</f>
        <v>2.6</v>
      </c>
      <c r="G224" s="6"/>
      <c r="H224" s="6"/>
      <c r="I224" s="6">
        <f>Source!R88</f>
        <v>0.78</v>
      </c>
      <c r="J224" s="5">
        <f>Source!AI88</f>
        <v>0.22</v>
      </c>
      <c r="K224" s="6">
        <f>Source!V88</f>
        <v>0.07</v>
      </c>
    </row>
    <row r="225" spans="3:4" ht="12.75">
      <c r="C225" s="32" t="s">
        <v>578</v>
      </c>
      <c r="D225" s="33" t="str">
        <f>Source!BO88</f>
        <v>м08-01-082-1</v>
      </c>
    </row>
    <row r="226" spans="3:7" ht="12.75">
      <c r="C226" s="34" t="s">
        <v>579</v>
      </c>
      <c r="D226" s="4">
        <f>Source!AT88</f>
        <v>95</v>
      </c>
      <c r="E226" s="4"/>
      <c r="F226" s="4"/>
      <c r="G226" s="35">
        <f>Source!X88</f>
        <v>129.47</v>
      </c>
    </row>
    <row r="227" spans="3:7" ht="12.75">
      <c r="C227" s="34" t="s">
        <v>580</v>
      </c>
      <c r="D227" s="4">
        <f>Source!AU88</f>
        <v>65</v>
      </c>
      <c r="E227" s="4"/>
      <c r="F227" s="4"/>
      <c r="G227" s="35">
        <f>Source!Y88</f>
        <v>88.58</v>
      </c>
    </row>
    <row r="231" spans="3:11" ht="12.75">
      <c r="C231" s="36" t="s">
        <v>581</v>
      </c>
      <c r="D231" s="66" t="str">
        <f>IF(Source!C12="1",Source!F90,Source!G90)</f>
        <v>Щит автоматики - оборудование</v>
      </c>
      <c r="E231" s="66"/>
      <c r="F231" s="66"/>
      <c r="G231" s="66"/>
      <c r="H231" s="66"/>
      <c r="I231" s="66"/>
      <c r="J231" s="66"/>
      <c r="K231" s="66"/>
    </row>
    <row r="233" spans="3:8" ht="12.75">
      <c r="C233" s="64" t="str">
        <f>Source!H92</f>
        <v>Прямые затраты</v>
      </c>
      <c r="D233" s="64"/>
      <c r="E233" s="64"/>
      <c r="F233" s="64"/>
      <c r="G233" s="7">
        <f>Source!F92</f>
        <v>7151.8</v>
      </c>
      <c r="H233" s="5"/>
    </row>
    <row r="235" spans="3:8" ht="12.75">
      <c r="C235" s="64" t="str">
        <f>Source!H93</f>
        <v>Стоимость материалов</v>
      </c>
      <c r="D235" s="64"/>
      <c r="E235" s="64"/>
      <c r="F235" s="64"/>
      <c r="G235" s="7">
        <f>Source!F93</f>
        <v>6567.02</v>
      </c>
      <c r="H235" s="5"/>
    </row>
    <row r="237" spans="3:8" ht="12.75">
      <c r="C237" s="64" t="str">
        <f>Source!H94</f>
        <v>Эксплуатация машин</v>
      </c>
      <c r="D237" s="64"/>
      <c r="E237" s="64"/>
      <c r="F237" s="64"/>
      <c r="G237" s="7">
        <f>Source!F94</f>
        <v>175.54</v>
      </c>
      <c r="H237" s="5"/>
    </row>
    <row r="239" spans="3:8" ht="12.75">
      <c r="C239" s="64" t="str">
        <f>Source!H95</f>
        <v>ЗП машинистов</v>
      </c>
      <c r="D239" s="64"/>
      <c r="E239" s="64"/>
      <c r="F239" s="64"/>
      <c r="G239" s="7">
        <f>Source!F95</f>
        <v>19.9</v>
      </c>
      <c r="H239" s="5"/>
    </row>
    <row r="241" spans="3:8" ht="12.75">
      <c r="C241" s="64" t="str">
        <f>Source!H96</f>
        <v>Основная ЗП рабочих</v>
      </c>
      <c r="D241" s="64"/>
      <c r="E241" s="64"/>
      <c r="F241" s="64"/>
      <c r="G241" s="7">
        <f>Source!F96</f>
        <v>409.24</v>
      </c>
      <c r="H241" s="5"/>
    </row>
    <row r="243" spans="3:8" ht="12.75">
      <c r="C243" s="64" t="str">
        <f>Source!H98</f>
        <v>Трудозатраты строителей</v>
      </c>
      <c r="D243" s="64"/>
      <c r="E243" s="64"/>
      <c r="F243" s="64"/>
      <c r="G243" s="7">
        <f>Source!F98</f>
        <v>42.26</v>
      </c>
      <c r="H243" s="5"/>
    </row>
    <row r="245" spans="3:8" ht="12.75">
      <c r="C245" s="64" t="str">
        <f>Source!H99</f>
        <v>Трудозатраты машинистов</v>
      </c>
      <c r="D245" s="64"/>
      <c r="E245" s="64"/>
      <c r="F245" s="64"/>
      <c r="G245" s="7">
        <f>Source!F99</f>
        <v>1.7</v>
      </c>
      <c r="H245" s="5"/>
    </row>
    <row r="247" spans="3:8" ht="12.75">
      <c r="C247" s="64" t="str">
        <f>Source!H101</f>
        <v>Накладные расходы</v>
      </c>
      <c r="D247" s="64"/>
      <c r="E247" s="64"/>
      <c r="F247" s="64"/>
      <c r="G247" s="7">
        <f>Source!F101</f>
        <v>407.69</v>
      </c>
      <c r="H247" s="5"/>
    </row>
    <row r="249" spans="3:8" ht="12.75">
      <c r="C249" s="64" t="str">
        <f>Source!H102</f>
        <v>Сметная прибыль</v>
      </c>
      <c r="D249" s="64"/>
      <c r="E249" s="64"/>
      <c r="F249" s="64"/>
      <c r="G249" s="7">
        <f>Source!F102</f>
        <v>278.94</v>
      </c>
      <c r="H249" s="5"/>
    </row>
    <row r="252" spans="3:11" ht="15.75">
      <c r="C252" s="26" t="s">
        <v>577</v>
      </c>
      <c r="D252" s="65" t="str">
        <f>IF(Source!C12="1",Source!F104,Source!G104)</f>
        <v>Пост сигнализации</v>
      </c>
      <c r="E252" s="65"/>
      <c r="F252" s="65"/>
      <c r="G252" s="65"/>
      <c r="H252" s="65"/>
      <c r="I252" s="65"/>
      <c r="J252" s="65"/>
      <c r="K252" s="65"/>
    </row>
    <row r="254" spans="1:11" ht="36">
      <c r="A254" s="27" t="str">
        <f>Source!E108</f>
        <v>1</v>
      </c>
      <c r="B254" s="27" t="str">
        <f>Source!F108</f>
        <v>м08-02-405-1</v>
      </c>
      <c r="C254" s="28" t="str">
        <f>Source!G108</f>
        <v>Провода по стальным конструкциям и панелям: Провод по установленным стальным конструкциям и панелям, сечение, мм2, до 16</v>
      </c>
      <c r="D254" s="5">
        <f>Source!I108</f>
        <v>0.25</v>
      </c>
      <c r="E254" s="30">
        <f>Source!AB108</f>
        <v>593.762</v>
      </c>
      <c r="F254" s="30">
        <f>Source!AD108</f>
        <v>87.57</v>
      </c>
      <c r="G254" s="6">
        <f>Source!O108</f>
        <v>148.44</v>
      </c>
      <c r="H254" s="6">
        <f>Source!S108</f>
        <v>89.91</v>
      </c>
      <c r="I254" s="31">
        <f>Source!Q108</f>
        <v>21.89</v>
      </c>
      <c r="J254" s="30">
        <f>Source!AH108</f>
        <v>38.3</v>
      </c>
      <c r="K254" s="31">
        <f>Source!U108</f>
        <v>9.58</v>
      </c>
    </row>
    <row r="255" spans="3:11" ht="12.75">
      <c r="C255" s="29" t="str">
        <f>Source!H108</f>
        <v>100 м</v>
      </c>
      <c r="D255" s="5"/>
      <c r="E255" s="5">
        <f>Source!AF108</f>
        <v>359.64</v>
      </c>
      <c r="F255" s="5">
        <f>Source!AE108</f>
        <v>5.9</v>
      </c>
      <c r="G255" s="6"/>
      <c r="H255" s="6"/>
      <c r="I255" s="6">
        <f>Source!R108</f>
        <v>1.48</v>
      </c>
      <c r="J255" s="5">
        <f>Source!AI108</f>
        <v>0.5</v>
      </c>
      <c r="K255" s="6">
        <f>Source!V108</f>
        <v>0.13</v>
      </c>
    </row>
    <row r="256" spans="3:4" ht="12.75">
      <c r="C256" s="32" t="s">
        <v>578</v>
      </c>
      <c r="D256" s="33" t="str">
        <f>Source!BO108</f>
        <v>м08-02-405-1</v>
      </c>
    </row>
    <row r="257" spans="3:7" ht="12.75">
      <c r="C257" s="34" t="s">
        <v>579</v>
      </c>
      <c r="D257" s="4">
        <f>Source!AT108</f>
        <v>95</v>
      </c>
      <c r="E257" s="4"/>
      <c r="F257" s="4"/>
      <c r="G257" s="35">
        <f>Source!X108</f>
        <v>86.82</v>
      </c>
    </row>
    <row r="258" spans="3:7" ht="12.75">
      <c r="C258" s="34" t="s">
        <v>580</v>
      </c>
      <c r="D258" s="4">
        <f>Source!AU108</f>
        <v>65</v>
      </c>
      <c r="E258" s="4"/>
      <c r="F258" s="4"/>
      <c r="G258" s="35">
        <f>Source!Y108</f>
        <v>59.4</v>
      </c>
    </row>
    <row r="260" spans="1:11" ht="36">
      <c r="A260" s="27" t="str">
        <f>Source!E109</f>
        <v>1,1</v>
      </c>
      <c r="B260" s="27" t="str">
        <f>Source!F109</f>
        <v>507-0262</v>
      </c>
      <c r="C260" s="28" t="str">
        <f>Source!G109</f>
        <v>Провода силовые для электрических установок на напряжение до 450 В с медной жилой марки ПВ3, сечением 1 мм2</v>
      </c>
      <c r="D260" s="5">
        <f>Source!I109</f>
        <v>0.025</v>
      </c>
      <c r="E260" s="30">
        <f>Source!AB109</f>
        <v>1615.852</v>
      </c>
      <c r="F260" s="30">
        <f>Source!AD109</f>
        <v>0</v>
      </c>
      <c r="G260" s="6">
        <f>Source!O109</f>
        <v>40.4</v>
      </c>
      <c r="H260" s="6">
        <f>Source!S109</f>
        <v>0</v>
      </c>
      <c r="I260" s="31">
        <f>Source!Q109</f>
        <v>0</v>
      </c>
      <c r="J260" s="30">
        <f>Source!AH109</f>
        <v>0</v>
      </c>
      <c r="K260" s="31">
        <f>Source!U109</f>
        <v>0</v>
      </c>
    </row>
    <row r="261" spans="3:11" ht="12.75">
      <c r="C261" s="29" t="str">
        <f>Source!H109</f>
        <v>1000 м</v>
      </c>
      <c r="D261" s="5"/>
      <c r="E261" s="5">
        <f>Source!AF109</f>
        <v>0</v>
      </c>
      <c r="F261" s="5">
        <f>Source!AE109</f>
        <v>0</v>
      </c>
      <c r="G261" s="6"/>
      <c r="H261" s="6"/>
      <c r="I261" s="6">
        <f>Source!R109</f>
        <v>0</v>
      </c>
      <c r="J261" s="5">
        <f>Source!AI109</f>
        <v>0</v>
      </c>
      <c r="K261" s="6">
        <f>Source!V109</f>
        <v>0</v>
      </c>
    </row>
    <row r="262" spans="3:4" ht="12.75">
      <c r="C262" s="32" t="s">
        <v>578</v>
      </c>
      <c r="D262" s="33" t="str">
        <f>Source!BO109</f>
        <v>507-0262</v>
      </c>
    </row>
    <row r="263" spans="1:11" ht="12.75">
      <c r="A263" s="27" t="str">
        <f>Source!E110</f>
        <v>1,2</v>
      </c>
      <c r="B263" s="27">
        <f>Source!F110</f>
      </c>
      <c r="C263" s="28" t="str">
        <f>Source!G110</f>
        <v>Рамки</v>
      </c>
      <c r="D263" s="5">
        <f>Source!I110</f>
        <v>4</v>
      </c>
      <c r="E263" s="30">
        <f>Source!AB110</f>
        <v>662.62</v>
      </c>
      <c r="F263" s="30">
        <f>Source!AD110</f>
        <v>0</v>
      </c>
      <c r="G263" s="6">
        <f>Source!O110</f>
        <v>2650.48</v>
      </c>
      <c r="H263" s="6">
        <f>Source!S110</f>
        <v>0</v>
      </c>
      <c r="I263" s="31">
        <f>Source!Q110</f>
        <v>0</v>
      </c>
      <c r="J263" s="30">
        <f>Source!AH110</f>
        <v>0</v>
      </c>
      <c r="K263" s="31">
        <f>Source!U110</f>
        <v>0</v>
      </c>
    </row>
    <row r="264" spans="3:11" ht="12.75">
      <c r="C264" s="29" t="str">
        <f>Source!H110</f>
        <v>1000ШТ</v>
      </c>
      <c r="D264" s="5"/>
      <c r="E264" s="5">
        <f>Source!AF110</f>
        <v>0</v>
      </c>
      <c r="F264" s="5">
        <f>Source!AE110</f>
        <v>0</v>
      </c>
      <c r="G264" s="6"/>
      <c r="H264" s="6"/>
      <c r="I264" s="6">
        <f>Source!R110</f>
        <v>0</v>
      </c>
      <c r="J264" s="5">
        <f>Source!AI110</f>
        <v>0</v>
      </c>
      <c r="K264" s="6">
        <f>Source!V110</f>
        <v>0</v>
      </c>
    </row>
    <row r="265" spans="1:11" ht="36">
      <c r="A265" s="27" t="str">
        <f>Source!E111</f>
        <v>2</v>
      </c>
      <c r="B265" s="27" t="str">
        <f>Source!F111</f>
        <v>м08-03-532-1</v>
      </c>
      <c r="C265" s="28" t="str">
        <f>Source!G111</f>
        <v>Посты управления кнопочные: Пост управления кнопочный общего назначения, устанавливаемый на конструкции на полу, количество элементов поста, до 3</v>
      </c>
      <c r="D265" s="5">
        <f>Source!I111</f>
        <v>1</v>
      </c>
      <c r="E265" s="30">
        <f>Source!AB111</f>
        <v>101.048</v>
      </c>
      <c r="F265" s="30">
        <f>Source!AD111</f>
        <v>0.99</v>
      </c>
      <c r="G265" s="6">
        <f>Source!O111</f>
        <v>101.05</v>
      </c>
      <c r="H265" s="6">
        <f>Source!S111</f>
        <v>17.78</v>
      </c>
      <c r="I265" s="31">
        <f>Source!Q111</f>
        <v>0.99</v>
      </c>
      <c r="J265" s="30">
        <f>Source!AH111</f>
        <v>1.87</v>
      </c>
      <c r="K265" s="31">
        <f>Source!U111</f>
        <v>1.87</v>
      </c>
    </row>
    <row r="266" spans="3:11" ht="12.75">
      <c r="C266" s="29" t="str">
        <f>Source!H111</f>
        <v>шт.</v>
      </c>
      <c r="D266" s="5"/>
      <c r="E266" s="5">
        <f>Source!AF111</f>
        <v>17.78</v>
      </c>
      <c r="F266" s="5">
        <f>Source!AE111</f>
        <v>0.08</v>
      </c>
      <c r="G266" s="6"/>
      <c r="H266" s="6"/>
      <c r="I266" s="6">
        <f>Source!R111</f>
        <v>0.08</v>
      </c>
      <c r="J266" s="5">
        <f>Source!AI111</f>
        <v>0.006</v>
      </c>
      <c r="K266" s="6">
        <f>Source!V111</f>
        <v>0.01</v>
      </c>
    </row>
    <row r="267" spans="3:4" ht="12.75">
      <c r="C267" s="32" t="s">
        <v>578</v>
      </c>
      <c r="D267" s="33" t="str">
        <f>Source!BO111</f>
        <v>м08-03-532-1</v>
      </c>
    </row>
    <row r="268" spans="3:7" ht="12.75">
      <c r="C268" s="34" t="s">
        <v>579</v>
      </c>
      <c r="D268" s="4">
        <f>Source!AT111</f>
        <v>95</v>
      </c>
      <c r="E268" s="4"/>
      <c r="F268" s="4"/>
      <c r="G268" s="35">
        <f>Source!X111</f>
        <v>16.97</v>
      </c>
    </row>
    <row r="269" spans="3:7" ht="12.75">
      <c r="C269" s="34" t="s">
        <v>580</v>
      </c>
      <c r="D269" s="4">
        <f>Source!AU111</f>
        <v>65</v>
      </c>
      <c r="E269" s="4"/>
      <c r="F269" s="4"/>
      <c r="G269" s="35">
        <f>Source!Y111</f>
        <v>11.61</v>
      </c>
    </row>
    <row r="271" spans="1:11" ht="24">
      <c r="A271" s="27" t="str">
        <f>Source!E112</f>
        <v>2,1</v>
      </c>
      <c r="B271" s="27">
        <f>Source!F112</f>
      </c>
      <c r="C271" s="28" t="str">
        <f>Source!G112</f>
        <v>Посты управления кнопочные серии ПКУ15. Панели с кожухом к постам управления</v>
      </c>
      <c r="D271" s="5">
        <f>Source!I112</f>
        <v>1</v>
      </c>
      <c r="E271" s="30">
        <f>Source!AB112</f>
        <v>503.622</v>
      </c>
      <c r="F271" s="30">
        <f>Source!AD112</f>
        <v>0</v>
      </c>
      <c r="G271" s="6">
        <f>Source!O112</f>
        <v>503.62</v>
      </c>
      <c r="H271" s="6">
        <f>Source!S112</f>
        <v>0</v>
      </c>
      <c r="I271" s="31">
        <f>Source!Q112</f>
        <v>0</v>
      </c>
      <c r="J271" s="30">
        <f>Source!AH112</f>
        <v>0</v>
      </c>
      <c r="K271" s="31">
        <f>Source!U112</f>
        <v>0</v>
      </c>
    </row>
    <row r="272" spans="3:11" ht="12.75">
      <c r="C272" s="29" t="str">
        <f>Source!H112</f>
        <v>ШТ</v>
      </c>
      <c r="D272" s="5"/>
      <c r="E272" s="5">
        <f>Source!AF112</f>
        <v>0</v>
      </c>
      <c r="F272" s="5">
        <f>Source!AE112</f>
        <v>0</v>
      </c>
      <c r="G272" s="6"/>
      <c r="H272" s="6"/>
      <c r="I272" s="6">
        <f>Source!R112</f>
        <v>0</v>
      </c>
      <c r="J272" s="5">
        <f>Source!AI112</f>
        <v>0</v>
      </c>
      <c r="K272" s="6">
        <f>Source!V112</f>
        <v>0</v>
      </c>
    </row>
    <row r="273" spans="1:11" ht="12.75">
      <c r="A273" s="27" t="str">
        <f>Source!E113</f>
        <v>3</v>
      </c>
      <c r="B273" s="27" t="str">
        <f>Source!F113</f>
        <v>67-5-1</v>
      </c>
      <c r="C273" s="28" t="str">
        <f>Source!G113</f>
        <v>Смена ламп накаливания</v>
      </c>
      <c r="D273" s="5">
        <f>Source!I113</f>
        <v>0.01</v>
      </c>
      <c r="E273" s="30">
        <f>Source!AB113</f>
        <v>672.29</v>
      </c>
      <c r="F273" s="30">
        <f>Source!AD113</f>
        <v>0</v>
      </c>
      <c r="G273" s="6">
        <f>Source!O113</f>
        <v>6.72</v>
      </c>
      <c r="H273" s="6">
        <f>Source!S113</f>
        <v>0.6</v>
      </c>
      <c r="I273" s="31">
        <f>Source!Q113</f>
        <v>0</v>
      </c>
      <c r="J273" s="30">
        <f>Source!AH113</f>
        <v>7.1</v>
      </c>
      <c r="K273" s="31">
        <f>Source!U113</f>
        <v>0.07</v>
      </c>
    </row>
    <row r="274" spans="3:11" ht="12.75">
      <c r="C274" s="29" t="str">
        <f>Source!H113</f>
        <v>100 шт.</v>
      </c>
      <c r="D274" s="5"/>
      <c r="E274" s="5">
        <f>Source!AF113</f>
        <v>60.49</v>
      </c>
      <c r="F274" s="5">
        <f>Source!AE113</f>
        <v>0</v>
      </c>
      <c r="G274" s="6"/>
      <c r="H274" s="6"/>
      <c r="I274" s="6">
        <f>Source!R113</f>
        <v>0</v>
      </c>
      <c r="J274" s="5">
        <f>Source!AI113</f>
        <v>0</v>
      </c>
      <c r="K274" s="6">
        <f>Source!V113</f>
        <v>0</v>
      </c>
    </row>
    <row r="275" spans="3:4" ht="12.75">
      <c r="C275" s="32" t="s">
        <v>578</v>
      </c>
      <c r="D275" s="33" t="str">
        <f>Source!BO113</f>
        <v>67-5-1</v>
      </c>
    </row>
    <row r="276" spans="3:7" ht="12.75">
      <c r="C276" s="34" t="s">
        <v>579</v>
      </c>
      <c r="D276" s="4">
        <f>Source!AT113</f>
        <v>85</v>
      </c>
      <c r="E276" s="4"/>
      <c r="F276" s="4"/>
      <c r="G276" s="35">
        <f>Source!X113</f>
        <v>0.51</v>
      </c>
    </row>
    <row r="277" spans="3:7" ht="12.75">
      <c r="C277" s="34" t="s">
        <v>580</v>
      </c>
      <c r="D277" s="4">
        <f>Source!AU113</f>
        <v>65</v>
      </c>
      <c r="E277" s="4"/>
      <c r="F277" s="4"/>
      <c r="G277" s="35">
        <f>Source!Y113</f>
        <v>0.39</v>
      </c>
    </row>
    <row r="279" spans="1:11" ht="24">
      <c r="A279" s="27" t="str">
        <f>Source!E114</f>
        <v>3,1</v>
      </c>
      <c r="B279" s="27" t="str">
        <f>Source!F114</f>
        <v>500-9006-015-73</v>
      </c>
      <c r="C279" s="28" t="str">
        <f>Source!G114</f>
        <v>Лампы накаливания:  ЛОН 25</v>
      </c>
      <c r="D279" s="5">
        <f>Source!I114</f>
        <v>0.1</v>
      </c>
      <c r="E279" s="30">
        <f>Source!AB114</f>
        <v>23.226</v>
      </c>
      <c r="F279" s="30">
        <f>Source!AD114</f>
        <v>0</v>
      </c>
      <c r="G279" s="6">
        <f>Source!O114</f>
        <v>2.32</v>
      </c>
      <c r="H279" s="6">
        <f>Source!S114</f>
        <v>0</v>
      </c>
      <c r="I279" s="31">
        <f>Source!Q114</f>
        <v>0</v>
      </c>
      <c r="J279" s="30">
        <f>Source!AH114</f>
        <v>0</v>
      </c>
      <c r="K279" s="31">
        <f>Source!U114</f>
        <v>0</v>
      </c>
    </row>
    <row r="280" spans="3:11" ht="12.75">
      <c r="C280" s="29" t="str">
        <f>Source!H114</f>
        <v>10 шт.</v>
      </c>
      <c r="D280" s="5"/>
      <c r="E280" s="5">
        <f>Source!AF114</f>
        <v>0</v>
      </c>
      <c r="F280" s="5">
        <f>Source!AE114</f>
        <v>0</v>
      </c>
      <c r="G280" s="6"/>
      <c r="H280" s="6"/>
      <c r="I280" s="6">
        <f>Source!R114</f>
        <v>0</v>
      </c>
      <c r="J280" s="5">
        <f>Source!AI114</f>
        <v>0</v>
      </c>
      <c r="K280" s="6">
        <f>Source!V114</f>
        <v>0</v>
      </c>
    </row>
    <row r="281" spans="1:11" ht="48">
      <c r="A281" s="27" t="str">
        <f>Source!E115</f>
        <v>4</v>
      </c>
      <c r="B281" s="27" t="str">
        <f>Source!F115</f>
        <v>м08-01-081-1</v>
      </c>
      <c r="C281" s="28" t="str">
        <f>Source!G115</f>
        <v>Аппараты управления и сигнализации: Аппарат (кнопка, ключ управления, замок электромагнитной блокировки, звуковой сигнал, сигнальная лампа), количество подключаемых концов, до 2</v>
      </c>
      <c r="D281" s="5">
        <f>Source!I115</f>
        <v>1</v>
      </c>
      <c r="E281" s="30">
        <f>Source!AB115</f>
        <v>20.788</v>
      </c>
      <c r="F281" s="30">
        <f>Source!AD115</f>
        <v>8.22</v>
      </c>
      <c r="G281" s="6">
        <f>Source!O115</f>
        <v>20.79</v>
      </c>
      <c r="H281" s="6">
        <f>Source!S115</f>
        <v>10.86</v>
      </c>
      <c r="I281" s="31">
        <f>Source!Q115</f>
        <v>8.22</v>
      </c>
      <c r="J281" s="30">
        <f>Source!AH115</f>
        <v>1.13</v>
      </c>
      <c r="K281" s="31">
        <f>Source!U115</f>
        <v>1.13</v>
      </c>
    </row>
    <row r="282" spans="3:11" ht="12.75">
      <c r="C282" s="29" t="str">
        <f>Source!H115</f>
        <v>шт.</v>
      </c>
      <c r="D282" s="5"/>
      <c r="E282" s="5">
        <f>Source!AF115</f>
        <v>10.86</v>
      </c>
      <c r="F282" s="5">
        <f>Source!AE115</f>
        <v>0.94</v>
      </c>
      <c r="G282" s="6"/>
      <c r="H282" s="6"/>
      <c r="I282" s="6">
        <f>Source!R115</f>
        <v>0.94</v>
      </c>
      <c r="J282" s="5">
        <f>Source!AI115</f>
        <v>0.08</v>
      </c>
      <c r="K282" s="6">
        <f>Source!V115</f>
        <v>0.08</v>
      </c>
    </row>
    <row r="283" spans="3:4" ht="12.75">
      <c r="C283" s="32" t="s">
        <v>578</v>
      </c>
      <c r="D283" s="33" t="str">
        <f>Source!BO115</f>
        <v>м08-01-081-1</v>
      </c>
    </row>
    <row r="284" spans="3:7" ht="12.75">
      <c r="C284" s="34" t="s">
        <v>579</v>
      </c>
      <c r="D284" s="4">
        <f>Source!AT115</f>
        <v>95</v>
      </c>
      <c r="E284" s="4"/>
      <c r="F284" s="4"/>
      <c r="G284" s="35">
        <f>Source!X115</f>
        <v>11.21</v>
      </c>
    </row>
    <row r="285" spans="3:7" ht="12.75">
      <c r="C285" s="34" t="s">
        <v>580</v>
      </c>
      <c r="D285" s="4">
        <f>Source!AU115</f>
        <v>65</v>
      </c>
      <c r="E285" s="4"/>
      <c r="F285" s="4"/>
      <c r="G285" s="35">
        <f>Source!Y115</f>
        <v>7.67</v>
      </c>
    </row>
    <row r="289" spans="3:11" ht="12.75">
      <c r="C289" s="36" t="s">
        <v>581</v>
      </c>
      <c r="D289" s="66" t="str">
        <f>IF(Source!C12="1",Source!F117,Source!G117)</f>
        <v>Пост сигнализации</v>
      </c>
      <c r="E289" s="66"/>
      <c r="F289" s="66"/>
      <c r="G289" s="66"/>
      <c r="H289" s="66"/>
      <c r="I289" s="66"/>
      <c r="J289" s="66"/>
      <c r="K289" s="66"/>
    </row>
    <row r="291" spans="3:8" ht="12.75">
      <c r="C291" s="64" t="str">
        <f>Source!H119</f>
        <v>Прямые затраты</v>
      </c>
      <c r="D291" s="64"/>
      <c r="E291" s="64"/>
      <c r="F291" s="64"/>
      <c r="G291" s="7">
        <f>Source!F119</f>
        <v>3473.82</v>
      </c>
      <c r="H291" s="5"/>
    </row>
    <row r="293" spans="3:8" ht="12.75">
      <c r="C293" s="64" t="str">
        <f>Source!H120</f>
        <v>Стоимость материалов</v>
      </c>
      <c r="D293" s="64"/>
      <c r="E293" s="64"/>
      <c r="F293" s="64"/>
      <c r="G293" s="7">
        <f>Source!F120</f>
        <v>3323.57</v>
      </c>
      <c r="H293" s="5"/>
    </row>
    <row r="295" spans="3:8" ht="12.75">
      <c r="C295" s="64" t="str">
        <f>Source!H121</f>
        <v>Эксплуатация машин</v>
      </c>
      <c r="D295" s="64"/>
      <c r="E295" s="64"/>
      <c r="F295" s="64"/>
      <c r="G295" s="7">
        <f>Source!F121</f>
        <v>31.1</v>
      </c>
      <c r="H295" s="5"/>
    </row>
    <row r="297" spans="3:8" ht="12.75">
      <c r="C297" s="64" t="str">
        <f>Source!H122</f>
        <v>ЗП машинистов</v>
      </c>
      <c r="D297" s="64"/>
      <c r="E297" s="64"/>
      <c r="F297" s="64"/>
      <c r="G297" s="7">
        <f>Source!F122</f>
        <v>2.5</v>
      </c>
      <c r="H297" s="5"/>
    </row>
    <row r="299" spans="3:8" ht="12.75">
      <c r="C299" s="64" t="str">
        <f>Source!H123</f>
        <v>Основная ЗП рабочих</v>
      </c>
      <c r="D299" s="64"/>
      <c r="E299" s="64"/>
      <c r="F299" s="64"/>
      <c r="G299" s="7">
        <f>Source!F123</f>
        <v>119.15</v>
      </c>
      <c r="H299" s="5"/>
    </row>
    <row r="301" spans="3:8" ht="12.75">
      <c r="C301" s="64" t="str">
        <f>Source!H125</f>
        <v>Трудозатраты строителей</v>
      </c>
      <c r="D301" s="64"/>
      <c r="E301" s="64"/>
      <c r="F301" s="64"/>
      <c r="G301" s="7">
        <f>Source!F125</f>
        <v>12.65</v>
      </c>
      <c r="H301" s="5"/>
    </row>
    <row r="303" spans="3:8" ht="12.75">
      <c r="C303" s="64" t="str">
        <f>Source!H126</f>
        <v>Трудозатраты машинистов</v>
      </c>
      <c r="D303" s="64"/>
      <c r="E303" s="64"/>
      <c r="F303" s="64"/>
      <c r="G303" s="7">
        <f>Source!F126</f>
        <v>0.22</v>
      </c>
      <c r="H303" s="5"/>
    </row>
    <row r="305" spans="3:8" ht="12.75">
      <c r="C305" s="64" t="str">
        <f>Source!H128</f>
        <v>Накладные расходы</v>
      </c>
      <c r="D305" s="64"/>
      <c r="E305" s="64"/>
      <c r="F305" s="64"/>
      <c r="G305" s="7">
        <f>Source!F128</f>
        <v>115.51</v>
      </c>
      <c r="H305" s="5"/>
    </row>
    <row r="307" spans="3:8" ht="12.75">
      <c r="C307" s="64" t="str">
        <f>Source!H129</f>
        <v>Сметная прибыль</v>
      </c>
      <c r="D307" s="64"/>
      <c r="E307" s="64"/>
      <c r="F307" s="64"/>
      <c r="G307" s="7">
        <f>Source!F129</f>
        <v>79.07</v>
      </c>
      <c r="H307" s="5"/>
    </row>
    <row r="310" spans="3:11" ht="15.75">
      <c r="C310" s="26" t="s">
        <v>577</v>
      </c>
      <c r="D310" s="65" t="str">
        <f>IF(Source!C12="1",Source!F131,Source!G131)</f>
        <v>Оборудование</v>
      </c>
      <c r="E310" s="65"/>
      <c r="F310" s="65"/>
      <c r="G310" s="65"/>
      <c r="H310" s="65"/>
      <c r="I310" s="65"/>
      <c r="J310" s="65"/>
      <c r="K310" s="65"/>
    </row>
    <row r="312" spans="1:11" ht="12.75">
      <c r="A312" s="27" t="str">
        <f>Source!E135</f>
        <v>1</v>
      </c>
      <c r="B312" s="27">
        <f>Source!F135</f>
      </c>
      <c r="C312" s="28" t="str">
        <f>Source!G135</f>
        <v>Термометры в оправе</v>
      </c>
      <c r="D312" s="5">
        <v>2</v>
      </c>
      <c r="E312" s="30">
        <f>Source!AB135</f>
        <v>433.17400000000004</v>
      </c>
      <c r="F312" s="30">
        <f>Source!AD135</f>
        <v>0</v>
      </c>
      <c r="G312" s="6">
        <f>+D312*E312</f>
        <v>866.3480000000001</v>
      </c>
      <c r="H312" s="6">
        <f>Source!S135</f>
        <v>0</v>
      </c>
      <c r="I312" s="31">
        <f>Source!Q135</f>
        <v>0</v>
      </c>
      <c r="J312" s="30">
        <f>Source!AH135</f>
        <v>0</v>
      </c>
      <c r="K312" s="31">
        <f>Source!U135</f>
        <v>0</v>
      </c>
    </row>
    <row r="313" spans="3:11" ht="12.75">
      <c r="C313" s="29" t="str">
        <f>Source!H135</f>
        <v>ШТ</v>
      </c>
      <c r="D313" s="5"/>
      <c r="E313" s="5">
        <f>Source!AF135</f>
        <v>0</v>
      </c>
      <c r="F313" s="5">
        <f>Source!AE135</f>
        <v>0</v>
      </c>
      <c r="G313" s="6"/>
      <c r="H313" s="6"/>
      <c r="I313" s="6">
        <f>Source!R135</f>
        <v>0</v>
      </c>
      <c r="J313" s="5">
        <f>Source!AI135</f>
        <v>0</v>
      </c>
      <c r="K313" s="6">
        <f>Source!V135</f>
        <v>0</v>
      </c>
    </row>
    <row r="314" spans="1:11" ht="12.75">
      <c r="A314" s="27" t="str">
        <f>Source!E136</f>
        <v>2</v>
      </c>
      <c r="B314" s="27">
        <f>Source!F136</f>
      </c>
      <c r="C314" s="28" t="str">
        <f>Source!G136</f>
        <v>Манометр МП-4У</v>
      </c>
      <c r="D314" s="5">
        <v>1</v>
      </c>
      <c r="E314" s="30">
        <f>Source!AB136</f>
        <v>364.19599999999997</v>
      </c>
      <c r="F314" s="30">
        <f>Source!AD136</f>
        <v>0</v>
      </c>
      <c r="G314" s="6">
        <f aca="true" t="shared" si="0" ref="G314:G322">+D314*E314</f>
        <v>364.19599999999997</v>
      </c>
      <c r="H314" s="6">
        <f>Source!S136</f>
        <v>0</v>
      </c>
      <c r="I314" s="31">
        <f>Source!Q136</f>
        <v>0</v>
      </c>
      <c r="J314" s="30">
        <f>Source!AH136</f>
        <v>0</v>
      </c>
      <c r="K314" s="31">
        <f>Source!U136</f>
        <v>0</v>
      </c>
    </row>
    <row r="315" spans="3:11" ht="12.75">
      <c r="C315" s="29" t="str">
        <f>Source!H136</f>
        <v>ШТ</v>
      </c>
      <c r="D315" s="5"/>
      <c r="E315" s="5">
        <f>Source!AF136</f>
        <v>0</v>
      </c>
      <c r="F315" s="5">
        <f>Source!AE136</f>
        <v>0</v>
      </c>
      <c r="G315" s="6">
        <f t="shared" si="0"/>
        <v>0</v>
      </c>
      <c r="H315" s="6"/>
      <c r="I315" s="6">
        <f>Source!R136</f>
        <v>0</v>
      </c>
      <c r="J315" s="5">
        <f>Source!AI136</f>
        <v>0</v>
      </c>
      <c r="K315" s="6">
        <f>Source!V136</f>
        <v>0</v>
      </c>
    </row>
    <row r="316" spans="1:11" ht="12.75">
      <c r="A316" s="27" t="str">
        <f>Source!E138</f>
        <v>3</v>
      </c>
      <c r="B316" s="27">
        <f>Source!F138</f>
      </c>
      <c r="C316" s="28" t="str">
        <f>Source!G138</f>
        <v>Манометр показывающий сигнализирующий ДМ2010СГ</v>
      </c>
      <c r="D316" s="5">
        <v>1</v>
      </c>
      <c r="E316" s="30">
        <f>Source!AB138</f>
        <v>780.4019999999999</v>
      </c>
      <c r="F316" s="30">
        <f>Source!AD138</f>
        <v>0</v>
      </c>
      <c r="G316" s="6">
        <f t="shared" si="0"/>
        <v>780.4019999999999</v>
      </c>
      <c r="H316" s="6">
        <f>Source!S138</f>
        <v>0</v>
      </c>
      <c r="I316" s="31">
        <f>Source!Q138</f>
        <v>0</v>
      </c>
      <c r="J316" s="30">
        <f>Source!AH138</f>
        <v>0</v>
      </c>
      <c r="K316" s="31">
        <f>Source!U138</f>
        <v>0</v>
      </c>
    </row>
    <row r="317" spans="3:11" ht="12.75">
      <c r="C317" s="29" t="str">
        <f>Source!H138</f>
        <v>ШТ</v>
      </c>
      <c r="D317" s="5"/>
      <c r="E317" s="5">
        <f>Source!AF138</f>
        <v>0</v>
      </c>
      <c r="F317" s="5">
        <f>Source!AE138</f>
        <v>0</v>
      </c>
      <c r="G317" s="6">
        <f t="shared" si="0"/>
        <v>0</v>
      </c>
      <c r="H317" s="6"/>
      <c r="I317" s="6">
        <f>Source!R138</f>
        <v>0</v>
      </c>
      <c r="J317" s="5">
        <f>Source!AI138</f>
        <v>0</v>
      </c>
      <c r="K317" s="6">
        <f>Source!V138</f>
        <v>0</v>
      </c>
    </row>
    <row r="318" spans="1:11" ht="12.75">
      <c r="A318" s="27" t="str">
        <f>Source!E139</f>
        <v>4</v>
      </c>
      <c r="B318" s="27">
        <f>Source!F139</f>
      </c>
      <c r="C318" s="28" t="str">
        <f>Source!G139</f>
        <v>Звонок громкого боя переменного тока</v>
      </c>
      <c r="D318" s="5">
        <v>1</v>
      </c>
      <c r="E318" s="30">
        <f>Source!AB139</f>
        <v>804.048</v>
      </c>
      <c r="F318" s="30">
        <f>Source!AD139</f>
        <v>0</v>
      </c>
      <c r="G318" s="6">
        <f t="shared" si="0"/>
        <v>804.048</v>
      </c>
      <c r="H318" s="6">
        <f>Source!S139</f>
        <v>0</v>
      </c>
      <c r="I318" s="31">
        <f>Source!Q139</f>
        <v>0</v>
      </c>
      <c r="J318" s="30">
        <f>Source!AH139</f>
        <v>0</v>
      </c>
      <c r="K318" s="31">
        <f>Source!U139</f>
        <v>0</v>
      </c>
    </row>
    <row r="319" spans="3:11" ht="12.75">
      <c r="C319" s="29" t="str">
        <f>Source!H139</f>
        <v>ШТ</v>
      </c>
      <c r="D319" s="5"/>
      <c r="E319" s="5">
        <f>Source!AF139</f>
        <v>0</v>
      </c>
      <c r="F319" s="5">
        <f>Source!AE139</f>
        <v>0</v>
      </c>
      <c r="G319" s="6">
        <f t="shared" si="0"/>
        <v>0</v>
      </c>
      <c r="H319" s="6"/>
      <c r="I319" s="6">
        <f>Source!R139</f>
        <v>0</v>
      </c>
      <c r="J319" s="5">
        <f>Source!AI139</f>
        <v>0</v>
      </c>
      <c r="K319" s="6">
        <f>Source!V139</f>
        <v>0</v>
      </c>
    </row>
    <row r="320" spans="1:11" ht="12.75">
      <c r="A320" s="27" t="str">
        <f>Source!E140</f>
        <v>5</v>
      </c>
      <c r="B320" s="27">
        <f>Source!F140</f>
      </c>
      <c r="C320" s="28" t="str">
        <f>Source!G140</f>
        <v>Датчик давления и сигнализатора ДД-0,25</v>
      </c>
      <c r="D320" s="5">
        <f>Source!I140</f>
        <v>1</v>
      </c>
      <c r="E320" s="30">
        <f>Source!AB140</f>
        <v>1135.1339999999998</v>
      </c>
      <c r="F320" s="30">
        <f>Source!AD140</f>
        <v>0</v>
      </c>
      <c r="G320" s="6">
        <f t="shared" si="0"/>
        <v>1135.1339999999998</v>
      </c>
      <c r="H320" s="6">
        <f>Source!S140</f>
        <v>0</v>
      </c>
      <c r="I320" s="31">
        <f>Source!Q140</f>
        <v>0</v>
      </c>
      <c r="J320" s="30">
        <f>Source!AH140</f>
        <v>0</v>
      </c>
      <c r="K320" s="31">
        <f>Source!U140</f>
        <v>0</v>
      </c>
    </row>
    <row r="321" spans="3:11" ht="12.75">
      <c r="C321" s="29" t="str">
        <f>Source!H140</f>
        <v>ШТ</v>
      </c>
      <c r="D321" s="5"/>
      <c r="E321" s="5">
        <f>Source!AF140</f>
        <v>0</v>
      </c>
      <c r="F321" s="5">
        <f>Source!AE140</f>
        <v>0</v>
      </c>
      <c r="G321" s="6">
        <f t="shared" si="0"/>
        <v>0</v>
      </c>
      <c r="H321" s="6"/>
      <c r="I321" s="6">
        <f>Source!R140</f>
        <v>0</v>
      </c>
      <c r="J321" s="5">
        <f>Source!AI140</f>
        <v>0</v>
      </c>
      <c r="K321" s="6">
        <f>Source!V140</f>
        <v>0</v>
      </c>
    </row>
    <row r="322" spans="1:11" ht="12.75">
      <c r="A322" s="27" t="str">
        <f>Source!E141</f>
        <v>6</v>
      </c>
      <c r="B322" s="27">
        <f>Source!F141</f>
      </c>
      <c r="C322" s="28" t="str">
        <f>Source!G141</f>
        <v>Тягонапоромер НМП-52</v>
      </c>
      <c r="D322" s="5">
        <v>1</v>
      </c>
      <c r="E322" s="30">
        <f>Source!AB141</f>
        <v>2497.292</v>
      </c>
      <c r="F322" s="30">
        <f>Source!AD141</f>
        <v>0</v>
      </c>
      <c r="G322" s="6">
        <f t="shared" si="0"/>
        <v>2497.292</v>
      </c>
      <c r="H322" s="6">
        <f>Source!S141</f>
        <v>0</v>
      </c>
      <c r="I322" s="31">
        <f>Source!Q141</f>
        <v>0</v>
      </c>
      <c r="J322" s="30">
        <f>Source!AH141</f>
        <v>0</v>
      </c>
      <c r="K322" s="31">
        <f>Source!U141</f>
        <v>0</v>
      </c>
    </row>
    <row r="323" spans="3:11" ht="12.75">
      <c r="C323" s="29" t="str">
        <f>Source!H141</f>
        <v>ШТ</v>
      </c>
      <c r="D323" s="5"/>
      <c r="E323" s="5">
        <f>Source!AF141</f>
        <v>0</v>
      </c>
      <c r="F323" s="5">
        <f>Source!AE141</f>
        <v>0</v>
      </c>
      <c r="G323" s="6"/>
      <c r="H323" s="6"/>
      <c r="I323" s="6">
        <f>Source!R141</f>
        <v>0</v>
      </c>
      <c r="J323" s="5">
        <f>Source!AI141</f>
        <v>0</v>
      </c>
      <c r="K323" s="6">
        <f>Source!V141</f>
        <v>0</v>
      </c>
    </row>
    <row r="326" spans="3:11" ht="12.75">
      <c r="C326" s="36" t="s">
        <v>581</v>
      </c>
      <c r="D326" s="66" t="str">
        <f>IF(Source!C12="1",Source!F143,Source!G143)</f>
        <v>Оборудование</v>
      </c>
      <c r="E326" s="66"/>
      <c r="F326" s="66"/>
      <c r="G326" s="66"/>
      <c r="H326" s="66"/>
      <c r="I326" s="66"/>
      <c r="J326" s="66"/>
      <c r="K326" s="66"/>
    </row>
    <row r="328" spans="3:8" ht="12.75">
      <c r="C328" s="64" t="str">
        <f>Source!H145</f>
        <v>Прямые затраты</v>
      </c>
      <c r="D328" s="64"/>
      <c r="E328" s="64"/>
      <c r="F328" s="64"/>
      <c r="G328" s="7">
        <f>SUM(G312:G323)</f>
        <v>6447.42</v>
      </c>
      <c r="H328" s="5"/>
    </row>
    <row r="330" spans="3:8" ht="12.75">
      <c r="C330" s="64" t="str">
        <f>Source!H146</f>
        <v>Стоимость материалов</v>
      </c>
      <c r="D330" s="64"/>
      <c r="E330" s="64"/>
      <c r="F330" s="64"/>
      <c r="G330" s="7">
        <f>+G328</f>
        <v>6447.42</v>
      </c>
      <c r="H330" s="5"/>
    </row>
    <row r="332" spans="3:8" ht="12.75">
      <c r="C332" s="64" t="str">
        <f>Source!H155</f>
        <v>Сметная прибыль</v>
      </c>
      <c r="D332" s="64"/>
      <c r="E332" s="64"/>
      <c r="F332" s="64"/>
      <c r="G332" s="7">
        <f>Source!F155</f>
        <v>0</v>
      </c>
      <c r="H332" s="5"/>
    </row>
    <row r="335" spans="3:11" ht="12.75">
      <c r="C335" s="36" t="s">
        <v>582</v>
      </c>
      <c r="D335" s="66" t="str">
        <f>IF(Source!C12="1",Source!F171,Source!G171)</f>
        <v>Котельная в с. Филипповка Мелекесского района</v>
      </c>
      <c r="E335" s="66"/>
      <c r="F335" s="66"/>
      <c r="G335" s="66"/>
      <c r="H335" s="66"/>
      <c r="I335" s="66"/>
      <c r="J335" s="66"/>
      <c r="K335" s="66"/>
    </row>
    <row r="337" spans="3:8" ht="12.75">
      <c r="C337" s="64" t="s">
        <v>149</v>
      </c>
      <c r="D337" s="64"/>
      <c r="E337" s="64"/>
      <c r="F337" s="64"/>
      <c r="G337" s="7">
        <v>19450.12</v>
      </c>
      <c r="H337" s="5"/>
    </row>
    <row r="339" spans="3:8" ht="12.75">
      <c r="C339" s="64" t="s">
        <v>167</v>
      </c>
      <c r="D339" s="64"/>
      <c r="E339" s="64"/>
      <c r="F339" s="64"/>
      <c r="G339" s="7">
        <v>2145.23</v>
      </c>
      <c r="H339" s="5"/>
    </row>
    <row r="341" spans="3:8" ht="12.75">
      <c r="C341" s="64" t="s">
        <v>169</v>
      </c>
      <c r="D341" s="64"/>
      <c r="E341" s="64"/>
      <c r="F341" s="64"/>
      <c r="G341" s="7">
        <v>1545.56</v>
      </c>
      <c r="H341" s="5"/>
    </row>
    <row r="343" spans="3:8" ht="12.75">
      <c r="C343" s="64" t="s">
        <v>603</v>
      </c>
      <c r="D343" s="64"/>
      <c r="E343" s="64"/>
      <c r="F343" s="64"/>
      <c r="G343" s="7">
        <f>+G337+G339+G341</f>
        <v>23140.91</v>
      </c>
      <c r="H343" s="5"/>
    </row>
    <row r="345" spans="3:8" ht="12.75">
      <c r="C345" s="64" t="s">
        <v>604</v>
      </c>
      <c r="D345" s="64"/>
      <c r="E345" s="64"/>
      <c r="F345" s="64"/>
      <c r="G345" s="7">
        <f>+G343*3.43</f>
        <v>79373.3213</v>
      </c>
      <c r="H345" s="5"/>
    </row>
    <row r="347" spans="7:8" ht="12.75">
      <c r="G347" s="7"/>
      <c r="H347" s="5"/>
    </row>
    <row r="348" spans="3:7" ht="12.75">
      <c r="C348" s="64" t="s">
        <v>251</v>
      </c>
      <c r="D348" s="64"/>
      <c r="E348" s="64"/>
      <c r="F348" s="64"/>
      <c r="G348" s="73">
        <f>+G345</f>
        <v>79373.3213</v>
      </c>
    </row>
    <row r="349" spans="7:8" ht="12.75">
      <c r="G349" s="7"/>
      <c r="H349" s="5"/>
    </row>
    <row r="350" spans="3:7" ht="12.75">
      <c r="C350" s="64" t="s">
        <v>255</v>
      </c>
      <c r="D350" s="64"/>
      <c r="E350" s="64"/>
      <c r="F350" s="64"/>
      <c r="G350">
        <f>+G348*0.022</f>
        <v>1746.2130685999998</v>
      </c>
    </row>
    <row r="351" spans="7:8" ht="12.75">
      <c r="G351" s="7"/>
      <c r="H351" s="5"/>
    </row>
    <row r="352" spans="3:7" ht="12.75">
      <c r="C352" s="64" t="s">
        <v>605</v>
      </c>
      <c r="D352" s="64"/>
      <c r="E352" s="64"/>
      <c r="F352" s="64"/>
      <c r="G352" s="73">
        <f>+G348+G350</f>
        <v>81119.5343686</v>
      </c>
    </row>
    <row r="353" spans="7:8" ht="12.75">
      <c r="G353" s="7"/>
      <c r="H353" s="5"/>
    </row>
    <row r="354" spans="3:7" ht="12.75">
      <c r="C354" s="64" t="s">
        <v>259</v>
      </c>
      <c r="D354" s="64"/>
      <c r="E354" s="64"/>
      <c r="F354" s="64"/>
      <c r="G354">
        <f>+G352*0.01</f>
        <v>811.195343686</v>
      </c>
    </row>
    <row r="355" spans="7:8" ht="12.75">
      <c r="G355" s="7"/>
      <c r="H355" s="5"/>
    </row>
    <row r="356" spans="3:7" ht="12.75">
      <c r="C356" s="64" t="s">
        <v>261</v>
      </c>
      <c r="D356" s="64"/>
      <c r="E356" s="64"/>
      <c r="F356" s="64"/>
      <c r="G356" s="73">
        <f>+G352+G354</f>
        <v>81930.729712286</v>
      </c>
    </row>
    <row r="357" spans="7:8" ht="12.75">
      <c r="G357" s="7"/>
      <c r="H357" s="5"/>
    </row>
    <row r="358" spans="3:7" ht="12.75">
      <c r="C358" s="64" t="s">
        <v>263</v>
      </c>
      <c r="D358" s="64"/>
      <c r="E358" s="64"/>
      <c r="F358" s="64"/>
      <c r="G358">
        <v>18</v>
      </c>
    </row>
    <row r="359" spans="7:8" ht="12.75">
      <c r="G359" s="7"/>
      <c r="H359" s="5"/>
    </row>
    <row r="360" spans="3:7" ht="12.75">
      <c r="C360" s="64" t="s">
        <v>265</v>
      </c>
      <c r="D360" s="64"/>
      <c r="E360" s="64"/>
      <c r="F360" s="64"/>
      <c r="G360">
        <f>+G356*0.18</f>
        <v>14747.53134821148</v>
      </c>
    </row>
    <row r="361" spans="3:8" ht="12.75">
      <c r="C361" s="54"/>
      <c r="D361" s="54"/>
      <c r="E361" s="54"/>
      <c r="F361" s="54"/>
      <c r="G361" s="7"/>
      <c r="H361" s="5"/>
    </row>
    <row r="362" spans="3:7" ht="12.75">
      <c r="C362" s="64" t="s">
        <v>267</v>
      </c>
      <c r="D362" s="64"/>
      <c r="E362" s="64"/>
      <c r="F362" s="64"/>
      <c r="G362" s="73">
        <f>+G356+G360</f>
        <v>96678.26106049749</v>
      </c>
    </row>
    <row r="363" spans="2:8" ht="12.75">
      <c r="B363" s="61" t="s">
        <v>602</v>
      </c>
      <c r="C363" s="54"/>
      <c r="D363" s="54"/>
      <c r="E363" s="54"/>
      <c r="F363" s="54"/>
      <c r="G363" s="7"/>
      <c r="H363" s="5"/>
    </row>
    <row r="365" spans="1:5" s="56" customFormat="1" ht="12.75">
      <c r="A365" s="56" t="s">
        <v>592</v>
      </c>
      <c r="C365" s="57"/>
      <c r="D365" s="57"/>
      <c r="E365" s="57"/>
    </row>
    <row r="366" spans="3:5" s="58" customFormat="1" ht="11.25">
      <c r="C366" s="63" t="s">
        <v>595</v>
      </c>
      <c r="D366" s="63"/>
      <c r="E366" s="63"/>
    </row>
    <row r="368" spans="1:5" s="56" customFormat="1" ht="12.75">
      <c r="A368" s="56" t="s">
        <v>596</v>
      </c>
      <c r="C368" s="41"/>
      <c r="D368" s="57"/>
      <c r="E368" s="57"/>
    </row>
    <row r="369" spans="3:5" s="58" customFormat="1" ht="11.25">
      <c r="C369" s="63" t="s">
        <v>595</v>
      </c>
      <c r="D369" s="63"/>
      <c r="E369" s="63"/>
    </row>
    <row r="371" spans="3:6" s="56" customFormat="1" ht="12.75">
      <c r="C371" s="41"/>
      <c r="F371" s="59"/>
    </row>
    <row r="372" spans="3:5" s="58" customFormat="1" ht="11.25">
      <c r="C372" s="63" t="s">
        <v>595</v>
      </c>
      <c r="D372" s="63"/>
      <c r="E372" s="63"/>
    </row>
  </sheetData>
  <mergeCells count="64">
    <mergeCell ref="C360:F360"/>
    <mergeCell ref="C362:F362"/>
    <mergeCell ref="F2:I2"/>
    <mergeCell ref="F3:I3"/>
    <mergeCell ref="C7:I7"/>
    <mergeCell ref="B8:I8"/>
    <mergeCell ref="C9:I9"/>
    <mergeCell ref="C10:K10"/>
    <mergeCell ref="C352:F352"/>
    <mergeCell ref="C354:F354"/>
    <mergeCell ref="C356:F356"/>
    <mergeCell ref="C358:F358"/>
    <mergeCell ref="C366:E366"/>
    <mergeCell ref="C369:E369"/>
    <mergeCell ref="C372:E372"/>
    <mergeCell ref="F1:I1"/>
    <mergeCell ref="C348:F348"/>
    <mergeCell ref="C350:F350"/>
    <mergeCell ref="C339:F339"/>
    <mergeCell ref="C341:F341"/>
    <mergeCell ref="C343:F343"/>
    <mergeCell ref="C345:F345"/>
    <mergeCell ref="C307:F307"/>
    <mergeCell ref="D310:K310"/>
    <mergeCell ref="D335:K335"/>
    <mergeCell ref="C337:F337"/>
    <mergeCell ref="D326:K326"/>
    <mergeCell ref="C328:F328"/>
    <mergeCell ref="C330:F330"/>
    <mergeCell ref="C332:F332"/>
    <mergeCell ref="C299:F299"/>
    <mergeCell ref="C301:F301"/>
    <mergeCell ref="C303:F303"/>
    <mergeCell ref="C305:F305"/>
    <mergeCell ref="C291:F291"/>
    <mergeCell ref="C293:F293"/>
    <mergeCell ref="C295:F295"/>
    <mergeCell ref="C297:F297"/>
    <mergeCell ref="C247:F247"/>
    <mergeCell ref="C249:F249"/>
    <mergeCell ref="D252:K252"/>
    <mergeCell ref="D289:K289"/>
    <mergeCell ref="C239:F239"/>
    <mergeCell ref="C241:F241"/>
    <mergeCell ref="C243:F243"/>
    <mergeCell ref="C245:F245"/>
    <mergeCell ref="D231:K231"/>
    <mergeCell ref="C233:F233"/>
    <mergeCell ref="C235:F235"/>
    <mergeCell ref="C237:F237"/>
    <mergeCell ref="C178:F178"/>
    <mergeCell ref="C180:F180"/>
    <mergeCell ref="C182:F182"/>
    <mergeCell ref="D185:K185"/>
    <mergeCell ref="C170:F170"/>
    <mergeCell ref="C172:F172"/>
    <mergeCell ref="C174:F174"/>
    <mergeCell ref="C176:F176"/>
    <mergeCell ref="D26:K26"/>
    <mergeCell ref="D164:K164"/>
    <mergeCell ref="C166:F166"/>
    <mergeCell ref="C168:F168"/>
    <mergeCell ref="D23:K23"/>
    <mergeCell ref="B11:C11"/>
  </mergeCells>
  <printOptions/>
  <pageMargins left="0.63" right="0.42" top="0.36" bottom="0.36" header="0.2" footer="0.19"/>
  <pageSetup fitToHeight="0" horizontalDpi="600" verticalDpi="600" orientation="portrait" paperSize="9" scale="69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T209"/>
  <sheetViews>
    <sheetView workbookViewId="0" topLeftCell="E1">
      <pane xSplit="3" topLeftCell="H5" activePane="topRight" state="frozen"/>
      <selection pane="topLeft" activeCell="E26" sqref="E26"/>
      <selection pane="topRight" activeCell="G18" sqref="G18"/>
    </sheetView>
  </sheetViews>
  <sheetFormatPr defaultColWidth="9.140625" defaultRowHeight="12.75"/>
  <sheetData>
    <row r="1" spans="1:12" ht="12.75">
      <c r="A1">
        <v>0</v>
      </c>
      <c r="B1" t="s">
        <v>0</v>
      </c>
      <c r="D1" t="s">
        <v>1</v>
      </c>
      <c r="F1">
        <v>0</v>
      </c>
      <c r="G1">
        <v>0</v>
      </c>
      <c r="H1">
        <v>0</v>
      </c>
      <c r="I1" t="s">
        <v>2</v>
      </c>
      <c r="J1" t="s">
        <v>3</v>
      </c>
      <c r="K1">
        <v>1</v>
      </c>
      <c r="L1">
        <v>19551</v>
      </c>
    </row>
    <row r="12" spans="1:103" ht="12.75">
      <c r="A12" s="1">
        <v>1</v>
      </c>
      <c r="B12" s="1">
        <v>1</v>
      </c>
      <c r="C12" s="1">
        <v>0</v>
      </c>
      <c r="D12" s="1">
        <f>ROW(A171)</f>
        <v>171</v>
      </c>
      <c r="E12" s="1">
        <v>0</v>
      </c>
      <c r="F12" s="1" t="s">
        <v>4</v>
      </c>
      <c r="G12" s="1" t="s">
        <v>601</v>
      </c>
      <c r="H12" s="1" t="s">
        <v>5</v>
      </c>
      <c r="I12" s="1">
        <v>0</v>
      </c>
      <c r="J12" s="1" t="s">
        <v>5</v>
      </c>
      <c r="K12" s="1" t="s">
        <v>5</v>
      </c>
      <c r="L12" s="1" t="s">
        <v>5</v>
      </c>
      <c r="M12" s="1" t="s">
        <v>5</v>
      </c>
      <c r="N12" s="1" t="s">
        <v>5</v>
      </c>
      <c r="O12" s="1" t="s">
        <v>5</v>
      </c>
      <c r="P12" s="1">
        <v>0</v>
      </c>
      <c r="Q12" s="1">
        <v>0</v>
      </c>
      <c r="R12" s="1" t="s">
        <v>5</v>
      </c>
      <c r="S12" s="1" t="s">
        <v>5</v>
      </c>
      <c r="T12" s="1" t="s">
        <v>5</v>
      </c>
      <c r="U12" s="1" t="s">
        <v>5</v>
      </c>
      <c r="V12" s="1">
        <v>-1</v>
      </c>
      <c r="W12" s="1" t="s">
        <v>5</v>
      </c>
      <c r="X12" s="1">
        <v>0</v>
      </c>
      <c r="Y12" s="1">
        <v>2</v>
      </c>
      <c r="Z12" s="1">
        <v>1</v>
      </c>
      <c r="AA12" s="1">
        <v>1</v>
      </c>
      <c r="AB12" s="1"/>
      <c r="AC12" s="1">
        <v>0</v>
      </c>
      <c r="AD12" s="1">
        <v>2</v>
      </c>
      <c r="AE12" s="1">
        <v>0</v>
      </c>
      <c r="AF12" s="1">
        <v>0</v>
      </c>
      <c r="AG12" s="1">
        <v>0</v>
      </c>
      <c r="AH12" s="1">
        <v>0</v>
      </c>
      <c r="AI12" s="1">
        <v>1</v>
      </c>
      <c r="AJ12" s="1">
        <v>0</v>
      </c>
      <c r="AK12" s="1">
        <v>0</v>
      </c>
      <c r="AL12" s="1" t="s">
        <v>5</v>
      </c>
      <c r="AM12" s="1" t="s">
        <v>5</v>
      </c>
      <c r="AN12" s="1">
        <v>0</v>
      </c>
      <c r="AO12" s="1" t="s">
        <v>5</v>
      </c>
      <c r="AP12" s="1" t="s">
        <v>5</v>
      </c>
      <c r="AQ12" s="1" t="s">
        <v>5</v>
      </c>
      <c r="AR12" s="1" t="s">
        <v>5</v>
      </c>
      <c r="AS12" s="1" t="s">
        <v>5</v>
      </c>
      <c r="AT12" s="1" t="s">
        <v>5</v>
      </c>
      <c r="AU12" s="1" t="s">
        <v>5</v>
      </c>
      <c r="AV12" s="1" t="s">
        <v>5</v>
      </c>
      <c r="AW12" s="1" t="s">
        <v>5</v>
      </c>
      <c r="AX12" s="1"/>
      <c r="AY12" s="1"/>
      <c r="AZ12" s="1"/>
      <c r="BA12" s="1">
        <v>0</v>
      </c>
      <c r="BB12" s="1">
        <v>0</v>
      </c>
      <c r="BC12" s="1">
        <v>0</v>
      </c>
      <c r="BD12" s="1">
        <v>7699522</v>
      </c>
      <c r="BE12" s="1" t="s">
        <v>6</v>
      </c>
      <c r="BF12" s="1" t="s">
        <v>7</v>
      </c>
      <c r="BG12" s="1">
        <v>4338064</v>
      </c>
      <c r="BH12" s="1">
        <v>0</v>
      </c>
      <c r="BI12" s="1">
        <v>0</v>
      </c>
      <c r="BJ12" s="1"/>
      <c r="BK12" s="1">
        <v>1</v>
      </c>
      <c r="BL12" s="1">
        <v>1</v>
      </c>
      <c r="BM12" s="1">
        <v>1</v>
      </c>
      <c r="BN12" s="1">
        <v>1</v>
      </c>
      <c r="BO12" s="1">
        <v>0</v>
      </c>
      <c r="BP12" s="1">
        <v>-1</v>
      </c>
      <c r="BQ12" s="1"/>
      <c r="BR12" s="1">
        <v>2</v>
      </c>
      <c r="BS12" s="1"/>
      <c r="BT12" s="1">
        <v>0</v>
      </c>
      <c r="BU12" s="1">
        <v>1</v>
      </c>
      <c r="BV12" s="1">
        <v>0</v>
      </c>
      <c r="BW12" s="1">
        <v>0</v>
      </c>
      <c r="BX12" s="1">
        <v>0</v>
      </c>
      <c r="BY12" s="1">
        <v>0</v>
      </c>
      <c r="BZ12" s="1">
        <v>0</v>
      </c>
      <c r="CA12" s="1">
        <v>5511049</v>
      </c>
      <c r="CB12" s="1">
        <v>5511043</v>
      </c>
      <c r="CC12" s="1">
        <v>5511041</v>
      </c>
      <c r="CD12" s="1">
        <v>5511039</v>
      </c>
      <c r="CE12" s="1">
        <v>0</v>
      </c>
      <c r="CF12" s="1">
        <v>0</v>
      </c>
      <c r="CG12" s="1" t="s">
        <v>5</v>
      </c>
      <c r="CH12" s="1" t="s">
        <v>5</v>
      </c>
      <c r="CI12" s="1" t="s">
        <v>5</v>
      </c>
      <c r="CJ12" s="1">
        <v>0</v>
      </c>
      <c r="CK12" s="1">
        <v>5826876</v>
      </c>
      <c r="CL12" s="1" t="s">
        <v>8</v>
      </c>
      <c r="CM12" s="1" t="s">
        <v>9</v>
      </c>
      <c r="CN12" s="1" t="s">
        <v>10</v>
      </c>
      <c r="CO12" s="1" t="s">
        <v>10</v>
      </c>
      <c r="CP12" s="1" t="s">
        <v>10</v>
      </c>
      <c r="CQ12" s="1" t="s">
        <v>10</v>
      </c>
      <c r="CR12" s="1" t="s">
        <v>11</v>
      </c>
      <c r="CS12" s="1">
        <v>7063924</v>
      </c>
      <c r="CT12" s="1">
        <v>0</v>
      </c>
      <c r="CU12" s="1">
        <v>0</v>
      </c>
      <c r="CV12" s="1">
        <v>0</v>
      </c>
      <c r="CW12" s="1">
        <v>0</v>
      </c>
      <c r="CX12" s="1">
        <v>0</v>
      </c>
      <c r="CY12" s="1">
        <v>0</v>
      </c>
    </row>
    <row r="15" spans="1:103" ht="12.75">
      <c r="A15" s="1">
        <v>15</v>
      </c>
      <c r="B15" s="1">
        <v>1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</row>
    <row r="18" spans="1:39" ht="12.75">
      <c r="A18" s="2">
        <v>52</v>
      </c>
      <c r="B18" s="2">
        <f aca="true" t="shared" si="0" ref="B18:AM18">B171</f>
        <v>1</v>
      </c>
      <c r="C18" s="2">
        <f t="shared" si="0"/>
        <v>1</v>
      </c>
      <c r="D18" s="2">
        <f t="shared" si="0"/>
        <v>12</v>
      </c>
      <c r="E18" s="2">
        <f t="shared" si="0"/>
        <v>0</v>
      </c>
      <c r="F18" s="2" t="str">
        <f t="shared" si="0"/>
        <v>Газооборудование</v>
      </c>
      <c r="G18" s="2" t="str">
        <f t="shared" si="0"/>
        <v>Котельная в с. Филипповка Мелекесского района</v>
      </c>
      <c r="H18" s="2">
        <f t="shared" si="0"/>
        <v>0</v>
      </c>
      <c r="I18" s="2">
        <f t="shared" si="0"/>
        <v>0</v>
      </c>
      <c r="J18" s="2">
        <f t="shared" si="0"/>
        <v>0</v>
      </c>
      <c r="K18" s="2">
        <f t="shared" si="0"/>
        <v>0</v>
      </c>
      <c r="L18" s="2">
        <f t="shared" si="0"/>
        <v>0</v>
      </c>
      <c r="M18" s="2">
        <f t="shared" si="0"/>
        <v>0</v>
      </c>
      <c r="N18" s="2">
        <f t="shared" si="0"/>
        <v>0</v>
      </c>
      <c r="O18" s="2">
        <f t="shared" si="0"/>
        <v>37041.93</v>
      </c>
      <c r="P18" s="2">
        <f t="shared" si="0"/>
        <v>34723.83</v>
      </c>
      <c r="Q18" s="2">
        <f t="shared" si="0"/>
        <v>548.85</v>
      </c>
      <c r="R18" s="2">
        <f t="shared" si="0"/>
        <v>73.04</v>
      </c>
      <c r="S18" s="2">
        <f t="shared" si="0"/>
        <v>1769.25</v>
      </c>
      <c r="T18" s="2">
        <f t="shared" si="0"/>
        <v>0</v>
      </c>
      <c r="U18" s="2">
        <f t="shared" si="0"/>
        <v>182.14</v>
      </c>
      <c r="V18" s="2">
        <f t="shared" si="0"/>
        <v>5.47</v>
      </c>
      <c r="W18" s="2">
        <f t="shared" si="0"/>
        <v>0</v>
      </c>
      <c r="X18" s="2">
        <f t="shared" si="0"/>
        <v>1596.49</v>
      </c>
      <c r="Y18" s="2">
        <f t="shared" si="0"/>
        <v>1146.26</v>
      </c>
      <c r="Z18" s="2">
        <f t="shared" si="0"/>
        <v>0</v>
      </c>
      <c r="AA18" s="2">
        <f t="shared" si="0"/>
        <v>0</v>
      </c>
      <c r="AB18" s="2">
        <f t="shared" si="0"/>
        <v>0</v>
      </c>
      <c r="AC18" s="2">
        <f t="shared" si="0"/>
        <v>0</v>
      </c>
      <c r="AD18" s="2">
        <f t="shared" si="0"/>
        <v>0</v>
      </c>
      <c r="AE18" s="2">
        <f t="shared" si="0"/>
        <v>0</v>
      </c>
      <c r="AF18" s="2">
        <f t="shared" si="0"/>
        <v>0</v>
      </c>
      <c r="AG18" s="2">
        <f t="shared" si="0"/>
        <v>0</v>
      </c>
      <c r="AH18" s="2">
        <f t="shared" si="0"/>
        <v>0</v>
      </c>
      <c r="AI18" s="2">
        <f t="shared" si="0"/>
        <v>0</v>
      </c>
      <c r="AJ18" s="2">
        <f t="shared" si="0"/>
        <v>0</v>
      </c>
      <c r="AK18" s="2">
        <f t="shared" si="0"/>
        <v>0</v>
      </c>
      <c r="AL18" s="2">
        <f t="shared" si="0"/>
        <v>0</v>
      </c>
      <c r="AM18" s="2">
        <f t="shared" si="0"/>
        <v>0</v>
      </c>
    </row>
    <row r="19" ht="12.75">
      <c r="G19">
        <v>0</v>
      </c>
    </row>
    <row r="20" spans="1:59" ht="12.75">
      <c r="A20" s="1">
        <v>3</v>
      </c>
      <c r="B20" s="1">
        <v>1</v>
      </c>
      <c r="C20" s="1"/>
      <c r="D20" s="1">
        <f>ROW(A157)</f>
        <v>157</v>
      </c>
      <c r="E20" s="1"/>
      <c r="F20" s="1" t="s">
        <v>12</v>
      </c>
      <c r="G20" s="1" t="s">
        <v>13</v>
      </c>
      <c r="H20" s="1"/>
      <c r="I20" s="1"/>
      <c r="J20" s="1" t="s">
        <v>5</v>
      </c>
      <c r="K20" s="1"/>
      <c r="L20" s="1"/>
      <c r="M20" s="1"/>
      <c r="N20" s="1" t="s">
        <v>5</v>
      </c>
      <c r="O20" s="1"/>
      <c r="P20" s="1"/>
      <c r="Q20" s="1"/>
      <c r="R20" s="1" t="s">
        <v>5</v>
      </c>
      <c r="S20" s="1" t="s">
        <v>5</v>
      </c>
      <c r="T20" s="1" t="s">
        <v>5</v>
      </c>
      <c r="U20" s="1" t="s">
        <v>5</v>
      </c>
      <c r="V20" s="1"/>
      <c r="W20" s="1"/>
      <c r="X20" s="1">
        <v>0</v>
      </c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>
        <v>0</v>
      </c>
      <c r="AK20" s="1">
        <v>0</v>
      </c>
      <c r="AL20" s="1">
        <v>0</v>
      </c>
      <c r="AM20" s="1"/>
      <c r="BE20" t="s">
        <v>14</v>
      </c>
      <c r="BF20">
        <v>0</v>
      </c>
      <c r="BG20">
        <v>0</v>
      </c>
    </row>
    <row r="22" spans="1:39" ht="12.75">
      <c r="A22" s="2">
        <v>52</v>
      </c>
      <c r="B22" s="2">
        <f aca="true" t="shared" si="1" ref="B22:AM22">B157</f>
        <v>1</v>
      </c>
      <c r="C22" s="2">
        <f t="shared" si="1"/>
        <v>3</v>
      </c>
      <c r="D22" s="2">
        <f t="shared" si="1"/>
        <v>20</v>
      </c>
      <c r="E22" s="2">
        <f t="shared" si="1"/>
        <v>0</v>
      </c>
      <c r="F22" s="2" t="str">
        <f t="shared" si="1"/>
        <v>Новая локальная смета</v>
      </c>
      <c r="G22" s="2" t="str">
        <f t="shared" si="1"/>
        <v>на Автоматику</v>
      </c>
      <c r="H22" s="2">
        <f t="shared" si="1"/>
        <v>0</v>
      </c>
      <c r="I22" s="2">
        <f t="shared" si="1"/>
        <v>0</v>
      </c>
      <c r="J22" s="2">
        <f t="shared" si="1"/>
        <v>0</v>
      </c>
      <c r="K22" s="2">
        <f t="shared" si="1"/>
        <v>0</v>
      </c>
      <c r="L22" s="2">
        <f t="shared" si="1"/>
        <v>0</v>
      </c>
      <c r="M22" s="2">
        <f t="shared" si="1"/>
        <v>0</v>
      </c>
      <c r="N22" s="2">
        <f t="shared" si="1"/>
        <v>0</v>
      </c>
      <c r="O22" s="2">
        <f t="shared" si="1"/>
        <v>37041.93</v>
      </c>
      <c r="P22" s="2">
        <f t="shared" si="1"/>
        <v>34723.83</v>
      </c>
      <c r="Q22" s="2">
        <f t="shared" si="1"/>
        <v>548.85</v>
      </c>
      <c r="R22" s="2">
        <f t="shared" si="1"/>
        <v>73.04</v>
      </c>
      <c r="S22" s="2">
        <f t="shared" si="1"/>
        <v>1769.25</v>
      </c>
      <c r="T22" s="2">
        <f t="shared" si="1"/>
        <v>0</v>
      </c>
      <c r="U22" s="2">
        <f t="shared" si="1"/>
        <v>182.14</v>
      </c>
      <c r="V22" s="2">
        <f t="shared" si="1"/>
        <v>5.47</v>
      </c>
      <c r="W22" s="2">
        <f t="shared" si="1"/>
        <v>0</v>
      </c>
      <c r="X22" s="2">
        <f t="shared" si="1"/>
        <v>1596.49</v>
      </c>
      <c r="Y22" s="2">
        <f t="shared" si="1"/>
        <v>1146.26</v>
      </c>
      <c r="Z22" s="2">
        <f t="shared" si="1"/>
        <v>0</v>
      </c>
      <c r="AA22" s="2">
        <f t="shared" si="1"/>
        <v>0</v>
      </c>
      <c r="AB22" s="2">
        <f t="shared" si="1"/>
        <v>0</v>
      </c>
      <c r="AC22" s="2">
        <f t="shared" si="1"/>
        <v>0</v>
      </c>
      <c r="AD22" s="2">
        <f t="shared" si="1"/>
        <v>0</v>
      </c>
      <c r="AE22" s="2">
        <f t="shared" si="1"/>
        <v>0</v>
      </c>
      <c r="AF22" s="2">
        <f t="shared" si="1"/>
        <v>0</v>
      </c>
      <c r="AG22" s="2">
        <f t="shared" si="1"/>
        <v>0</v>
      </c>
      <c r="AH22" s="2">
        <f t="shared" si="1"/>
        <v>0</v>
      </c>
      <c r="AI22" s="2">
        <f t="shared" si="1"/>
        <v>0</v>
      </c>
      <c r="AJ22" s="2">
        <f t="shared" si="1"/>
        <v>0</v>
      </c>
      <c r="AK22" s="2">
        <f t="shared" si="1"/>
        <v>0</v>
      </c>
      <c r="AL22" s="2">
        <f t="shared" si="1"/>
        <v>0</v>
      </c>
      <c r="AM22" s="2">
        <f t="shared" si="1"/>
        <v>0</v>
      </c>
    </row>
    <row r="23" spans="7:38" ht="12.75">
      <c r="G23">
        <v>0</v>
      </c>
      <c r="AL23">
        <f>'[2]Source'!$AL$23</f>
        <v>1.4</v>
      </c>
    </row>
    <row r="24" spans="1:59" ht="12.75">
      <c r="A24" s="1">
        <v>4</v>
      </c>
      <c r="B24" s="1">
        <v>1</v>
      </c>
      <c r="C24" s="1"/>
      <c r="D24" s="1">
        <f>ROW(A60)</f>
        <v>60</v>
      </c>
      <c r="E24" s="1"/>
      <c r="F24" s="1" t="s">
        <v>15</v>
      </c>
      <c r="G24" s="1" t="s">
        <v>15</v>
      </c>
      <c r="H24" s="1"/>
      <c r="I24" s="1"/>
      <c r="J24" s="1"/>
      <c r="K24" s="1"/>
      <c r="L24" s="1"/>
      <c r="M24" s="1"/>
      <c r="N24" s="1" t="s">
        <v>5</v>
      </c>
      <c r="O24" s="1"/>
      <c r="P24" s="1"/>
      <c r="Q24" s="1"/>
      <c r="R24" s="1" t="s">
        <v>5</v>
      </c>
      <c r="S24" s="1" t="s">
        <v>5</v>
      </c>
      <c r="T24" s="1" t="s">
        <v>5</v>
      </c>
      <c r="U24" s="1" t="s">
        <v>5</v>
      </c>
      <c r="V24" s="1"/>
      <c r="W24" s="1"/>
      <c r="X24" s="1">
        <v>0</v>
      </c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>
        <f>$AL$23</f>
        <v>1.4</v>
      </c>
      <c r="AM24" s="1"/>
      <c r="BE24" t="s">
        <v>16</v>
      </c>
      <c r="BF24">
        <v>0</v>
      </c>
      <c r="BG24">
        <v>0</v>
      </c>
    </row>
    <row r="26" spans="1:39" ht="12.75">
      <c r="A26" s="2">
        <v>52</v>
      </c>
      <c r="B26" s="2">
        <f aca="true" t="shared" si="2" ref="B26:AM26">B60</f>
        <v>1</v>
      </c>
      <c r="C26" s="2">
        <f t="shared" si="2"/>
        <v>4</v>
      </c>
      <c r="D26" s="2">
        <f t="shared" si="2"/>
        <v>24</v>
      </c>
      <c r="E26" s="2">
        <f t="shared" si="2"/>
        <v>0</v>
      </c>
      <c r="F26" s="2" t="str">
        <f t="shared" si="2"/>
        <v>Монтажные работы</v>
      </c>
      <c r="G26" s="2" t="str">
        <f t="shared" si="2"/>
        <v>Монтажные работы</v>
      </c>
      <c r="H26" s="2">
        <f t="shared" si="2"/>
        <v>0</v>
      </c>
      <c r="I26" s="2">
        <f t="shared" si="2"/>
        <v>0</v>
      </c>
      <c r="J26" s="2">
        <f t="shared" si="2"/>
        <v>0</v>
      </c>
      <c r="K26" s="2">
        <f t="shared" si="2"/>
        <v>0</v>
      </c>
      <c r="L26" s="2">
        <f t="shared" si="2"/>
        <v>0</v>
      </c>
      <c r="M26" s="2">
        <f t="shared" si="2"/>
        <v>0</v>
      </c>
      <c r="N26" s="2">
        <f t="shared" si="2"/>
        <v>0</v>
      </c>
      <c r="O26" s="2">
        <f t="shared" si="2"/>
        <v>10531.81</v>
      </c>
      <c r="P26" s="2">
        <f t="shared" si="2"/>
        <v>8948.74</v>
      </c>
      <c r="Q26" s="2">
        <f t="shared" si="2"/>
        <v>342.21</v>
      </c>
      <c r="R26" s="2">
        <f t="shared" si="2"/>
        <v>50.64</v>
      </c>
      <c r="S26" s="2">
        <f t="shared" si="2"/>
        <v>1240.86</v>
      </c>
      <c r="T26" s="2">
        <f t="shared" si="2"/>
        <v>0</v>
      </c>
      <c r="U26" s="2">
        <f t="shared" si="2"/>
        <v>127.23</v>
      </c>
      <c r="V26" s="2">
        <f t="shared" si="2"/>
        <v>3.55</v>
      </c>
      <c r="W26" s="2">
        <f t="shared" si="2"/>
        <v>0</v>
      </c>
      <c r="X26" s="2">
        <f t="shared" si="2"/>
        <v>1073.29</v>
      </c>
      <c r="Y26" s="2">
        <f t="shared" si="2"/>
        <v>788.25</v>
      </c>
      <c r="Z26" s="2">
        <f t="shared" si="2"/>
        <v>0</v>
      </c>
      <c r="AA26" s="2">
        <f t="shared" si="2"/>
        <v>0</v>
      </c>
      <c r="AB26" s="2">
        <f t="shared" si="2"/>
        <v>10531.81</v>
      </c>
      <c r="AC26" s="2">
        <f t="shared" si="2"/>
        <v>8948.74</v>
      </c>
      <c r="AD26" s="2">
        <f t="shared" si="2"/>
        <v>342.21</v>
      </c>
      <c r="AE26" s="2">
        <f t="shared" si="2"/>
        <v>50.64</v>
      </c>
      <c r="AF26" s="2">
        <f t="shared" si="2"/>
        <v>1240.86</v>
      </c>
      <c r="AG26" s="2">
        <f t="shared" si="2"/>
        <v>0</v>
      </c>
      <c r="AH26" s="2">
        <f t="shared" si="2"/>
        <v>127.23</v>
      </c>
      <c r="AI26" s="2">
        <f t="shared" si="2"/>
        <v>3.55</v>
      </c>
      <c r="AJ26" s="2">
        <f t="shared" si="2"/>
        <v>0</v>
      </c>
      <c r="AK26" s="2">
        <f t="shared" si="2"/>
        <v>1073.29</v>
      </c>
      <c r="AL26" s="2">
        <f t="shared" si="2"/>
        <v>788.25</v>
      </c>
      <c r="AM26" s="2">
        <f t="shared" si="2"/>
        <v>0</v>
      </c>
    </row>
    <row r="28" spans="1:150" ht="12.75">
      <c r="A28">
        <v>17</v>
      </c>
      <c r="B28">
        <v>1</v>
      </c>
      <c r="C28">
        <f>ROW(SmtRes!A15)</f>
        <v>15</v>
      </c>
      <c r="D28" t="s">
        <v>18</v>
      </c>
      <c r="E28" t="s">
        <v>17</v>
      </c>
      <c r="F28" t="s">
        <v>18</v>
      </c>
      <c r="G28" t="s">
        <v>19</v>
      </c>
      <c r="H28" t="s">
        <v>20</v>
      </c>
      <c r="I28">
        <v>1</v>
      </c>
      <c r="J28">
        <v>0</v>
      </c>
      <c r="O28">
        <f aca="true" t="shared" si="3" ref="O28:O58">ROUND(CP28,2)</f>
        <v>183.39</v>
      </c>
      <c r="P28">
        <f aca="true" t="shared" si="4" ref="P28:P58">ROUND(CQ28*I28,2)</f>
        <v>127.99</v>
      </c>
      <c r="Q28">
        <f aca="true" t="shared" si="5" ref="Q28:Q58">ROUND(CR28*I28,2)</f>
        <v>9.87</v>
      </c>
      <c r="R28">
        <f aca="true" t="shared" si="6" ref="R28:R58">ROUND(CS28*I28,2)</f>
        <v>0.82</v>
      </c>
      <c r="S28">
        <f aca="true" t="shared" si="7" ref="S28:S58">ROUND(CT28*I28,2)</f>
        <v>45.53</v>
      </c>
      <c r="T28">
        <f aca="true" t="shared" si="8" ref="T28:T58">ROUND(CU28*I28,2)</f>
        <v>0</v>
      </c>
      <c r="U28">
        <f aca="true" t="shared" si="9" ref="U28:U58">ROUND(CV28*I28,2)</f>
        <v>5.15</v>
      </c>
      <c r="V28">
        <f aca="true" t="shared" si="10" ref="V28:V58">ROUND(CW28*I28,2)</f>
        <v>0.07</v>
      </c>
      <c r="W28">
        <f aca="true" t="shared" si="11" ref="W28:W58">ROUND(CX28*I28,2)</f>
        <v>0</v>
      </c>
      <c r="X28">
        <f aca="true" t="shared" si="12" ref="X28:X58">ROUND(CY28,2)</f>
        <v>37.08</v>
      </c>
      <c r="Y28">
        <f aca="true" t="shared" si="13" ref="Y28:Y58">ROUND(CZ28,2)</f>
        <v>27.81</v>
      </c>
      <c r="AA28">
        <v>0</v>
      </c>
      <c r="AB28">
        <f aca="true" t="shared" si="14" ref="AB28:AB58">(AC28+AD28+AF28)</f>
        <v>183.388</v>
      </c>
      <c r="AC28">
        <f aca="true" t="shared" si="15" ref="AC28:AC58">AL28</f>
        <v>127.988</v>
      </c>
      <c r="AD28">
        <f aca="true" t="shared" si="16" ref="AD28:AD58">AM28</f>
        <v>9.87</v>
      </c>
      <c r="AE28">
        <f aca="true" t="shared" si="17" ref="AE28:AE58">AN28</f>
        <v>0.82</v>
      </c>
      <c r="AF28">
        <f aca="true" t="shared" si="18" ref="AF28:AF58">AO28</f>
        <v>45.53</v>
      </c>
      <c r="AG28">
        <f aca="true" t="shared" si="19" ref="AG28:AG58">AP28</f>
        <v>0</v>
      </c>
      <c r="AH28">
        <f aca="true" t="shared" si="20" ref="AH28:AH58">AQ28</f>
        <v>5.15</v>
      </c>
      <c r="AI28">
        <f aca="true" t="shared" si="21" ref="AI28:AI58">AR28</f>
        <v>0.07</v>
      </c>
      <c r="AJ28">
        <f aca="true" t="shared" si="22" ref="AJ28:AJ58">AS28</f>
        <v>0</v>
      </c>
      <c r="AK28">
        <v>146.82</v>
      </c>
      <c r="AL28" s="60">
        <f>91.42*($AL$23)</f>
        <v>127.988</v>
      </c>
      <c r="AM28">
        <v>9.87</v>
      </c>
      <c r="AN28">
        <v>0.82</v>
      </c>
      <c r="AO28">
        <v>45.53</v>
      </c>
      <c r="AP28">
        <v>0</v>
      </c>
      <c r="AQ28">
        <v>5.15</v>
      </c>
      <c r="AR28">
        <v>0.07</v>
      </c>
      <c r="AS28">
        <v>0</v>
      </c>
      <c r="AT28">
        <v>80</v>
      </c>
      <c r="AU28">
        <v>60</v>
      </c>
      <c r="AV28">
        <v>1</v>
      </c>
      <c r="AW28">
        <v>1</v>
      </c>
      <c r="AX28">
        <v>1</v>
      </c>
      <c r="AY28">
        <v>1</v>
      </c>
      <c r="AZ28">
        <v>1</v>
      </c>
      <c r="BA28">
        <v>1</v>
      </c>
      <c r="BB28">
        <v>1</v>
      </c>
      <c r="BC28">
        <v>1</v>
      </c>
      <c r="BH28">
        <v>0</v>
      </c>
      <c r="BI28">
        <v>2</v>
      </c>
      <c r="BJ28" t="s">
        <v>21</v>
      </c>
      <c r="BM28">
        <v>55</v>
      </c>
      <c r="BN28">
        <v>0</v>
      </c>
      <c r="BO28" t="s">
        <v>18</v>
      </c>
      <c r="BP28">
        <v>1</v>
      </c>
      <c r="BQ28">
        <v>3</v>
      </c>
      <c r="BR28">
        <v>0</v>
      </c>
      <c r="BS28">
        <v>1</v>
      </c>
      <c r="BT28">
        <v>1</v>
      </c>
      <c r="BU28">
        <v>1</v>
      </c>
      <c r="BV28">
        <v>1</v>
      </c>
      <c r="BW28">
        <v>1</v>
      </c>
      <c r="BX28">
        <v>1</v>
      </c>
      <c r="CF28">
        <v>0</v>
      </c>
      <c r="CG28">
        <v>0</v>
      </c>
      <c r="CM28">
        <v>0</v>
      </c>
      <c r="CO28">
        <v>0</v>
      </c>
      <c r="CP28">
        <f aca="true" t="shared" si="23" ref="CP28:CP58">(P28+Q28+S28)</f>
        <v>183.39</v>
      </c>
      <c r="CQ28">
        <f aca="true" t="shared" si="24" ref="CQ28:CQ58">(AC28)*BC28</f>
        <v>127.988</v>
      </c>
      <c r="CR28">
        <f aca="true" t="shared" si="25" ref="CR28:CR58">(AD28)*BB28</f>
        <v>9.87</v>
      </c>
      <c r="CS28">
        <f aca="true" t="shared" si="26" ref="CS28:CS58">(AE28)*BS28</f>
        <v>0.82</v>
      </c>
      <c r="CT28">
        <f aca="true" t="shared" si="27" ref="CT28:CT58">(AF28)*BA28</f>
        <v>45.53</v>
      </c>
      <c r="CU28">
        <f aca="true" t="shared" si="28" ref="CU28:CU58">(AG28)*BT28</f>
        <v>0</v>
      </c>
      <c r="CV28">
        <f aca="true" t="shared" si="29" ref="CV28:CV58">(AH28)*BU28</f>
        <v>5.15</v>
      </c>
      <c r="CW28">
        <f aca="true" t="shared" si="30" ref="CW28:CW58">(AI28)*BV28</f>
        <v>0.07</v>
      </c>
      <c r="CX28">
        <f aca="true" t="shared" si="31" ref="CX28:CX58">(AJ28)*BW28</f>
        <v>0</v>
      </c>
      <c r="CY28">
        <f aca="true" t="shared" si="32" ref="CY28:CY58">(((S28+R28)*AT28)/100)</f>
        <v>37.08</v>
      </c>
      <c r="CZ28">
        <f aca="true" t="shared" si="33" ref="CZ28:CZ58">(((S28+R28)*AU28)/100)</f>
        <v>27.81</v>
      </c>
      <c r="DN28">
        <v>0</v>
      </c>
      <c r="DO28">
        <v>0</v>
      </c>
      <c r="DP28">
        <v>1</v>
      </c>
      <c r="DQ28">
        <v>1</v>
      </c>
      <c r="DR28">
        <v>1</v>
      </c>
      <c r="DS28">
        <v>1</v>
      </c>
      <c r="DT28">
        <v>1</v>
      </c>
      <c r="DU28">
        <v>1010</v>
      </c>
      <c r="DV28" t="s">
        <v>20</v>
      </c>
      <c r="DW28" t="s">
        <v>20</v>
      </c>
      <c r="DX28">
        <v>1</v>
      </c>
      <c r="EE28">
        <v>6294947</v>
      </c>
      <c r="EF28">
        <v>3</v>
      </c>
      <c r="EG28" t="s">
        <v>15</v>
      </c>
      <c r="EH28">
        <v>0</v>
      </c>
      <c r="EJ28">
        <v>2</v>
      </c>
      <c r="EK28">
        <v>55</v>
      </c>
      <c r="EL28" t="s">
        <v>22</v>
      </c>
      <c r="EM28" t="s">
        <v>23</v>
      </c>
      <c r="ET28">
        <v>5432.34</v>
      </c>
    </row>
    <row r="29" spans="1:150" ht="12.75">
      <c r="A29">
        <v>17</v>
      </c>
      <c r="B29">
        <v>1</v>
      </c>
      <c r="C29">
        <f>ROW(SmtRes!A35)</f>
        <v>35</v>
      </c>
      <c r="D29" t="s">
        <v>25</v>
      </c>
      <c r="E29" t="s">
        <v>24</v>
      </c>
      <c r="F29" t="s">
        <v>25</v>
      </c>
      <c r="G29" t="s">
        <v>26</v>
      </c>
      <c r="H29" t="s">
        <v>20</v>
      </c>
      <c r="I29">
        <v>1</v>
      </c>
      <c r="J29">
        <v>0</v>
      </c>
      <c r="O29">
        <f t="shared" si="3"/>
        <v>368.37</v>
      </c>
      <c r="P29">
        <f t="shared" si="4"/>
        <v>316.86</v>
      </c>
      <c r="Q29">
        <f t="shared" si="5"/>
        <v>29.21</v>
      </c>
      <c r="R29">
        <f t="shared" si="6"/>
        <v>7.19</v>
      </c>
      <c r="S29">
        <f t="shared" si="7"/>
        <v>22.3</v>
      </c>
      <c r="T29">
        <f t="shared" si="8"/>
        <v>0</v>
      </c>
      <c r="U29">
        <f t="shared" si="9"/>
        <v>2.25</v>
      </c>
      <c r="V29">
        <f t="shared" si="10"/>
        <v>0.03</v>
      </c>
      <c r="W29">
        <f t="shared" si="11"/>
        <v>0</v>
      </c>
      <c r="X29">
        <f t="shared" si="12"/>
        <v>23.59</v>
      </c>
      <c r="Y29">
        <f t="shared" si="13"/>
        <v>17.69</v>
      </c>
      <c r="AA29">
        <v>0</v>
      </c>
      <c r="AB29">
        <f t="shared" si="14"/>
        <v>368.372</v>
      </c>
      <c r="AC29">
        <f t="shared" si="15"/>
        <v>316.862</v>
      </c>
      <c r="AD29">
        <f t="shared" si="16"/>
        <v>29.21</v>
      </c>
      <c r="AE29">
        <f t="shared" si="17"/>
        <v>7.19</v>
      </c>
      <c r="AF29">
        <f t="shared" si="18"/>
        <v>22.3</v>
      </c>
      <c r="AG29">
        <f t="shared" si="19"/>
        <v>0</v>
      </c>
      <c r="AH29">
        <f t="shared" si="20"/>
        <v>2.25</v>
      </c>
      <c r="AI29">
        <f t="shared" si="21"/>
        <v>0.03</v>
      </c>
      <c r="AJ29">
        <f t="shared" si="22"/>
        <v>0</v>
      </c>
      <c r="AK29">
        <v>277.84</v>
      </c>
      <c r="AL29" s="60">
        <f>226.33*($AL$23)</f>
        <v>316.862</v>
      </c>
      <c r="AM29">
        <v>29.21</v>
      </c>
      <c r="AN29">
        <v>7.19</v>
      </c>
      <c r="AO29">
        <v>22.3</v>
      </c>
      <c r="AP29">
        <v>0</v>
      </c>
      <c r="AQ29">
        <v>2.25</v>
      </c>
      <c r="AR29">
        <v>0.03</v>
      </c>
      <c r="AS29">
        <v>0</v>
      </c>
      <c r="AT29">
        <v>80</v>
      </c>
      <c r="AU29">
        <v>60</v>
      </c>
      <c r="AV29">
        <v>1</v>
      </c>
      <c r="AW29">
        <v>1</v>
      </c>
      <c r="AX29">
        <v>1</v>
      </c>
      <c r="AY29">
        <v>1</v>
      </c>
      <c r="AZ29">
        <v>1</v>
      </c>
      <c r="BA29">
        <v>1</v>
      </c>
      <c r="BB29">
        <v>1</v>
      </c>
      <c r="BC29">
        <v>1</v>
      </c>
      <c r="BH29">
        <v>0</v>
      </c>
      <c r="BI29">
        <v>2</v>
      </c>
      <c r="BJ29" t="s">
        <v>27</v>
      </c>
      <c r="BM29">
        <v>55</v>
      </c>
      <c r="BN29">
        <v>0</v>
      </c>
      <c r="BO29" t="s">
        <v>25</v>
      </c>
      <c r="BP29">
        <v>1</v>
      </c>
      <c r="BQ29">
        <v>3</v>
      </c>
      <c r="BR29">
        <v>0</v>
      </c>
      <c r="BS29">
        <v>1</v>
      </c>
      <c r="BT29">
        <v>1</v>
      </c>
      <c r="BU29">
        <v>1</v>
      </c>
      <c r="BV29">
        <v>1</v>
      </c>
      <c r="BW29">
        <v>1</v>
      </c>
      <c r="BX29">
        <v>1</v>
      </c>
      <c r="CF29">
        <v>0</v>
      </c>
      <c r="CG29">
        <v>0</v>
      </c>
      <c r="CM29">
        <v>0</v>
      </c>
      <c r="CO29">
        <v>0</v>
      </c>
      <c r="CP29">
        <f t="shared" si="23"/>
        <v>368.37</v>
      </c>
      <c r="CQ29">
        <f t="shared" si="24"/>
        <v>316.862</v>
      </c>
      <c r="CR29">
        <f t="shared" si="25"/>
        <v>29.21</v>
      </c>
      <c r="CS29">
        <f t="shared" si="26"/>
        <v>7.19</v>
      </c>
      <c r="CT29">
        <f t="shared" si="27"/>
        <v>22.3</v>
      </c>
      <c r="CU29">
        <f t="shared" si="28"/>
        <v>0</v>
      </c>
      <c r="CV29">
        <f t="shared" si="29"/>
        <v>2.25</v>
      </c>
      <c r="CW29">
        <f t="shared" si="30"/>
        <v>0.03</v>
      </c>
      <c r="CX29">
        <f t="shared" si="31"/>
        <v>0</v>
      </c>
      <c r="CY29">
        <f t="shared" si="32"/>
        <v>23.592000000000002</v>
      </c>
      <c r="CZ29">
        <f t="shared" si="33"/>
        <v>17.694000000000003</v>
      </c>
      <c r="DN29">
        <v>0</v>
      </c>
      <c r="DO29">
        <v>0</v>
      </c>
      <c r="DP29">
        <v>1</v>
      </c>
      <c r="DQ29">
        <v>1</v>
      </c>
      <c r="DR29">
        <v>1</v>
      </c>
      <c r="DS29">
        <v>1</v>
      </c>
      <c r="DT29">
        <v>1</v>
      </c>
      <c r="DU29">
        <v>1010</v>
      </c>
      <c r="DV29" t="s">
        <v>20</v>
      </c>
      <c r="DW29" t="s">
        <v>20</v>
      </c>
      <c r="DX29">
        <v>1</v>
      </c>
      <c r="EE29">
        <v>6294947</v>
      </c>
      <c r="EF29">
        <v>3</v>
      </c>
      <c r="EG29" t="s">
        <v>15</v>
      </c>
      <c r="EH29">
        <v>0</v>
      </c>
      <c r="EJ29">
        <v>2</v>
      </c>
      <c r="EK29">
        <v>55</v>
      </c>
      <c r="EL29" t="s">
        <v>22</v>
      </c>
      <c r="EM29" t="s">
        <v>23</v>
      </c>
      <c r="ET29">
        <v>10280.08</v>
      </c>
    </row>
    <row r="30" spans="1:150" ht="12.75">
      <c r="A30">
        <v>17</v>
      </c>
      <c r="B30">
        <v>1</v>
      </c>
      <c r="C30">
        <f>ROW(SmtRes!A58)</f>
        <v>58</v>
      </c>
      <c r="D30" t="s">
        <v>29</v>
      </c>
      <c r="E30" t="s">
        <v>28</v>
      </c>
      <c r="F30" t="s">
        <v>29</v>
      </c>
      <c r="G30" t="s">
        <v>30</v>
      </c>
      <c r="H30" t="s">
        <v>31</v>
      </c>
      <c r="I30">
        <v>1</v>
      </c>
      <c r="J30">
        <v>0</v>
      </c>
      <c r="O30">
        <f t="shared" si="3"/>
        <v>106.27</v>
      </c>
      <c r="P30">
        <f t="shared" si="4"/>
        <v>86.41</v>
      </c>
      <c r="Q30">
        <f t="shared" si="5"/>
        <v>8.76</v>
      </c>
      <c r="R30">
        <f t="shared" si="6"/>
        <v>2</v>
      </c>
      <c r="S30">
        <f t="shared" si="7"/>
        <v>11.1</v>
      </c>
      <c r="T30">
        <f t="shared" si="8"/>
        <v>0</v>
      </c>
      <c r="U30">
        <f t="shared" si="9"/>
        <v>1.12</v>
      </c>
      <c r="V30">
        <f t="shared" si="10"/>
        <v>0.01</v>
      </c>
      <c r="W30">
        <f t="shared" si="11"/>
        <v>0</v>
      </c>
      <c r="X30">
        <f t="shared" si="12"/>
        <v>10.48</v>
      </c>
      <c r="Y30">
        <f t="shared" si="13"/>
        <v>7.86</v>
      </c>
      <c r="AA30">
        <v>0</v>
      </c>
      <c r="AB30">
        <f t="shared" si="14"/>
        <v>106.26799999999999</v>
      </c>
      <c r="AC30">
        <f t="shared" si="15"/>
        <v>86.40799999999999</v>
      </c>
      <c r="AD30">
        <f t="shared" si="16"/>
        <v>8.76</v>
      </c>
      <c r="AE30">
        <f t="shared" si="17"/>
        <v>2</v>
      </c>
      <c r="AF30">
        <f t="shared" si="18"/>
        <v>11.1</v>
      </c>
      <c r="AG30">
        <f t="shared" si="19"/>
        <v>0</v>
      </c>
      <c r="AH30">
        <f t="shared" si="20"/>
        <v>1.12</v>
      </c>
      <c r="AI30">
        <f t="shared" si="21"/>
        <v>0.01</v>
      </c>
      <c r="AJ30">
        <f t="shared" si="22"/>
        <v>0</v>
      </c>
      <c r="AK30">
        <v>81.58</v>
      </c>
      <c r="AL30" s="60">
        <f>61.72*($AL$23)</f>
        <v>86.40799999999999</v>
      </c>
      <c r="AM30">
        <v>8.76</v>
      </c>
      <c r="AN30">
        <v>2</v>
      </c>
      <c r="AO30">
        <v>11.1</v>
      </c>
      <c r="AP30">
        <v>0</v>
      </c>
      <c r="AQ30">
        <v>1.12</v>
      </c>
      <c r="AR30">
        <v>0.01</v>
      </c>
      <c r="AS30">
        <v>0</v>
      </c>
      <c r="AT30">
        <v>80</v>
      </c>
      <c r="AU30">
        <v>60</v>
      </c>
      <c r="AV30">
        <v>1</v>
      </c>
      <c r="AW30">
        <v>1</v>
      </c>
      <c r="AX30">
        <v>1</v>
      </c>
      <c r="AY30">
        <v>1</v>
      </c>
      <c r="AZ30">
        <v>1</v>
      </c>
      <c r="BA30">
        <v>1</v>
      </c>
      <c r="BB30">
        <v>1</v>
      </c>
      <c r="BC30">
        <v>1</v>
      </c>
      <c r="BH30">
        <v>0</v>
      </c>
      <c r="BI30">
        <v>2</v>
      </c>
      <c r="BJ30" t="s">
        <v>32</v>
      </c>
      <c r="BM30">
        <v>55</v>
      </c>
      <c r="BN30">
        <v>0</v>
      </c>
      <c r="BO30" t="s">
        <v>29</v>
      </c>
      <c r="BP30">
        <v>1</v>
      </c>
      <c r="BQ30">
        <v>3</v>
      </c>
      <c r="BR30">
        <v>0</v>
      </c>
      <c r="BS30">
        <v>1</v>
      </c>
      <c r="BT30">
        <v>1</v>
      </c>
      <c r="BU30">
        <v>1</v>
      </c>
      <c r="BV30">
        <v>1</v>
      </c>
      <c r="BW30">
        <v>1</v>
      </c>
      <c r="BX30">
        <v>1</v>
      </c>
      <c r="CF30">
        <v>0</v>
      </c>
      <c r="CG30">
        <v>0</v>
      </c>
      <c r="CM30">
        <v>0</v>
      </c>
      <c r="CO30">
        <v>0</v>
      </c>
      <c r="CP30">
        <f t="shared" si="23"/>
        <v>106.27</v>
      </c>
      <c r="CQ30">
        <f t="shared" si="24"/>
        <v>86.40799999999999</v>
      </c>
      <c r="CR30">
        <f t="shared" si="25"/>
        <v>8.76</v>
      </c>
      <c r="CS30">
        <f t="shared" si="26"/>
        <v>2</v>
      </c>
      <c r="CT30">
        <f t="shared" si="27"/>
        <v>11.1</v>
      </c>
      <c r="CU30">
        <f t="shared" si="28"/>
        <v>0</v>
      </c>
      <c r="CV30">
        <f t="shared" si="29"/>
        <v>1.12</v>
      </c>
      <c r="CW30">
        <f t="shared" si="30"/>
        <v>0.01</v>
      </c>
      <c r="CX30">
        <f t="shared" si="31"/>
        <v>0</v>
      </c>
      <c r="CY30">
        <f t="shared" si="32"/>
        <v>10.48</v>
      </c>
      <c r="CZ30">
        <f t="shared" si="33"/>
        <v>7.86</v>
      </c>
      <c r="DN30">
        <v>0</v>
      </c>
      <c r="DO30">
        <v>0</v>
      </c>
      <c r="DP30">
        <v>1</v>
      </c>
      <c r="DQ30">
        <v>1</v>
      </c>
      <c r="DR30">
        <v>1</v>
      </c>
      <c r="DS30">
        <v>1</v>
      </c>
      <c r="DT30">
        <v>1</v>
      </c>
      <c r="DU30">
        <v>1009</v>
      </c>
      <c r="DV30" t="s">
        <v>31</v>
      </c>
      <c r="DW30" t="s">
        <v>31</v>
      </c>
      <c r="DX30">
        <v>10</v>
      </c>
      <c r="EE30">
        <v>6294947</v>
      </c>
      <c r="EF30">
        <v>3</v>
      </c>
      <c r="EG30" t="s">
        <v>15</v>
      </c>
      <c r="EH30">
        <v>0</v>
      </c>
      <c r="EJ30">
        <v>2</v>
      </c>
      <c r="EK30">
        <v>55</v>
      </c>
      <c r="EL30" t="s">
        <v>22</v>
      </c>
      <c r="EM30" t="s">
        <v>23</v>
      </c>
      <c r="ET30">
        <v>3018.46</v>
      </c>
    </row>
    <row r="31" spans="1:150" ht="12.75">
      <c r="A31">
        <v>18</v>
      </c>
      <c r="B31">
        <v>1</v>
      </c>
      <c r="D31" t="s">
        <v>34</v>
      </c>
      <c r="E31" t="s">
        <v>33</v>
      </c>
      <c r="G31" t="s">
        <v>35</v>
      </c>
      <c r="H31" t="s">
        <v>36</v>
      </c>
      <c r="I31">
        <f>I30*J31</f>
        <v>0.03</v>
      </c>
      <c r="J31">
        <v>0.03</v>
      </c>
      <c r="O31">
        <f t="shared" si="3"/>
        <v>208.92</v>
      </c>
      <c r="P31">
        <f t="shared" si="4"/>
        <v>208.92</v>
      </c>
      <c r="Q31">
        <f t="shared" si="5"/>
        <v>0</v>
      </c>
      <c r="R31">
        <f t="shared" si="6"/>
        <v>0</v>
      </c>
      <c r="S31">
        <f t="shared" si="7"/>
        <v>0</v>
      </c>
      <c r="T31">
        <f t="shared" si="8"/>
        <v>0</v>
      </c>
      <c r="U31">
        <f t="shared" si="9"/>
        <v>0</v>
      </c>
      <c r="V31">
        <f t="shared" si="10"/>
        <v>0</v>
      </c>
      <c r="W31">
        <f t="shared" si="11"/>
        <v>0</v>
      </c>
      <c r="X31">
        <f t="shared" si="12"/>
        <v>0</v>
      </c>
      <c r="Y31">
        <f t="shared" si="13"/>
        <v>0</v>
      </c>
      <c r="AA31">
        <v>0</v>
      </c>
      <c r="AB31">
        <f t="shared" si="14"/>
        <v>6963.879999999999</v>
      </c>
      <c r="AC31">
        <f t="shared" si="15"/>
        <v>6963.879999999999</v>
      </c>
      <c r="AD31">
        <f t="shared" si="16"/>
        <v>0</v>
      </c>
      <c r="AE31">
        <f t="shared" si="17"/>
        <v>0</v>
      </c>
      <c r="AF31">
        <f t="shared" si="18"/>
        <v>0</v>
      </c>
      <c r="AG31">
        <f t="shared" si="19"/>
        <v>0</v>
      </c>
      <c r="AH31">
        <f t="shared" si="20"/>
        <v>0</v>
      </c>
      <c r="AI31">
        <f t="shared" si="21"/>
        <v>0</v>
      </c>
      <c r="AJ31">
        <f t="shared" si="22"/>
        <v>0</v>
      </c>
      <c r="AK31">
        <v>4974.2</v>
      </c>
      <c r="AL31" s="60">
        <f>4974.2*($AL$23)</f>
        <v>6963.879999999999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80</v>
      </c>
      <c r="AU31">
        <v>60</v>
      </c>
      <c r="AV31">
        <v>1</v>
      </c>
      <c r="AW31">
        <v>1</v>
      </c>
      <c r="AX31">
        <v>1</v>
      </c>
      <c r="AY31">
        <v>1</v>
      </c>
      <c r="AZ31">
        <v>1</v>
      </c>
      <c r="BA31">
        <v>1</v>
      </c>
      <c r="BB31">
        <v>1</v>
      </c>
      <c r="BC31">
        <v>1</v>
      </c>
      <c r="BH31">
        <v>3</v>
      </c>
      <c r="BI31">
        <v>2</v>
      </c>
      <c r="BM31">
        <v>55</v>
      </c>
      <c r="BN31">
        <v>0</v>
      </c>
      <c r="BP31">
        <v>0</v>
      </c>
      <c r="BQ31">
        <v>3</v>
      </c>
      <c r="BR31">
        <v>0</v>
      </c>
      <c r="BS31">
        <v>1</v>
      </c>
      <c r="BT31">
        <v>1</v>
      </c>
      <c r="BU31">
        <v>1</v>
      </c>
      <c r="BV31">
        <v>1</v>
      </c>
      <c r="BW31">
        <v>1</v>
      </c>
      <c r="BX31">
        <v>1</v>
      </c>
      <c r="CF31">
        <v>0</v>
      </c>
      <c r="CG31">
        <v>0</v>
      </c>
      <c r="CM31">
        <v>0</v>
      </c>
      <c r="CO31">
        <v>0</v>
      </c>
      <c r="CP31">
        <f t="shared" si="23"/>
        <v>208.92</v>
      </c>
      <c r="CQ31">
        <f t="shared" si="24"/>
        <v>6963.879999999999</v>
      </c>
      <c r="CR31">
        <f t="shared" si="25"/>
        <v>0</v>
      </c>
      <c r="CS31">
        <f t="shared" si="26"/>
        <v>0</v>
      </c>
      <c r="CT31">
        <f t="shared" si="27"/>
        <v>0</v>
      </c>
      <c r="CU31">
        <f t="shared" si="28"/>
        <v>0</v>
      </c>
      <c r="CV31">
        <f t="shared" si="29"/>
        <v>0</v>
      </c>
      <c r="CW31">
        <f t="shared" si="30"/>
        <v>0</v>
      </c>
      <c r="CX31">
        <f t="shared" si="31"/>
        <v>0</v>
      </c>
      <c r="CY31">
        <f t="shared" si="32"/>
        <v>0</v>
      </c>
      <c r="CZ31">
        <f t="shared" si="33"/>
        <v>0</v>
      </c>
      <c r="DN31">
        <v>0</v>
      </c>
      <c r="DO31">
        <v>0</v>
      </c>
      <c r="DP31">
        <v>1</v>
      </c>
      <c r="DQ31">
        <v>1</v>
      </c>
      <c r="DR31">
        <v>1</v>
      </c>
      <c r="DS31">
        <v>1</v>
      </c>
      <c r="DT31">
        <v>1</v>
      </c>
      <c r="DU31">
        <v>1013</v>
      </c>
      <c r="DV31" t="s">
        <v>36</v>
      </c>
      <c r="DW31" t="s">
        <v>36</v>
      </c>
      <c r="DX31">
        <v>1</v>
      </c>
      <c r="EE31">
        <v>6294947</v>
      </c>
      <c r="EF31">
        <v>3</v>
      </c>
      <c r="EG31" t="s">
        <v>15</v>
      </c>
      <c r="EH31">
        <v>0</v>
      </c>
      <c r="EJ31">
        <v>2</v>
      </c>
      <c r="EK31">
        <v>55</v>
      </c>
      <c r="EL31" t="s">
        <v>22</v>
      </c>
      <c r="EM31" t="s">
        <v>23</v>
      </c>
      <c r="ET31">
        <v>5521.51</v>
      </c>
    </row>
    <row r="32" spans="1:150" ht="12.75">
      <c r="A32">
        <v>18</v>
      </c>
      <c r="B32">
        <v>1</v>
      </c>
      <c r="D32" t="s">
        <v>38</v>
      </c>
      <c r="E32" t="s">
        <v>37</v>
      </c>
      <c r="G32" t="s">
        <v>39</v>
      </c>
      <c r="H32" t="s">
        <v>20</v>
      </c>
      <c r="I32">
        <f>I30*J32</f>
        <v>1</v>
      </c>
      <c r="J32">
        <v>1</v>
      </c>
      <c r="O32">
        <f t="shared" si="3"/>
        <v>107.24</v>
      </c>
      <c r="P32">
        <f t="shared" si="4"/>
        <v>107.24</v>
      </c>
      <c r="Q32">
        <f t="shared" si="5"/>
        <v>0</v>
      </c>
      <c r="R32">
        <f t="shared" si="6"/>
        <v>0</v>
      </c>
      <c r="S32">
        <f t="shared" si="7"/>
        <v>0</v>
      </c>
      <c r="T32">
        <f t="shared" si="8"/>
        <v>0</v>
      </c>
      <c r="U32">
        <f t="shared" si="9"/>
        <v>0</v>
      </c>
      <c r="V32">
        <f t="shared" si="10"/>
        <v>0</v>
      </c>
      <c r="W32">
        <f t="shared" si="11"/>
        <v>0</v>
      </c>
      <c r="X32">
        <f t="shared" si="12"/>
        <v>0</v>
      </c>
      <c r="Y32">
        <f t="shared" si="13"/>
        <v>0</v>
      </c>
      <c r="AA32">
        <v>0</v>
      </c>
      <c r="AB32">
        <f t="shared" si="14"/>
        <v>107.23999999999998</v>
      </c>
      <c r="AC32">
        <f t="shared" si="15"/>
        <v>107.23999999999998</v>
      </c>
      <c r="AD32">
        <f t="shared" si="16"/>
        <v>0</v>
      </c>
      <c r="AE32">
        <f t="shared" si="17"/>
        <v>0</v>
      </c>
      <c r="AF32">
        <f t="shared" si="18"/>
        <v>0</v>
      </c>
      <c r="AG32">
        <f t="shared" si="19"/>
        <v>0</v>
      </c>
      <c r="AH32">
        <f t="shared" si="20"/>
        <v>0</v>
      </c>
      <c r="AI32">
        <f t="shared" si="21"/>
        <v>0</v>
      </c>
      <c r="AJ32">
        <f t="shared" si="22"/>
        <v>0</v>
      </c>
      <c r="AK32">
        <v>76.6</v>
      </c>
      <c r="AL32" s="60">
        <f>76.6*($AL$23)</f>
        <v>107.23999999999998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80</v>
      </c>
      <c r="AU32">
        <v>60</v>
      </c>
      <c r="AV32">
        <v>1</v>
      </c>
      <c r="AW32">
        <v>1</v>
      </c>
      <c r="AX32">
        <v>1</v>
      </c>
      <c r="AY32">
        <v>1</v>
      </c>
      <c r="AZ32">
        <v>1</v>
      </c>
      <c r="BA32">
        <v>1</v>
      </c>
      <c r="BB32">
        <v>1</v>
      </c>
      <c r="BC32">
        <v>1</v>
      </c>
      <c r="BH32">
        <v>3</v>
      </c>
      <c r="BI32">
        <v>2</v>
      </c>
      <c r="BJ32" t="s">
        <v>40</v>
      </c>
      <c r="BM32">
        <v>55</v>
      </c>
      <c r="BN32">
        <v>0</v>
      </c>
      <c r="BO32" t="s">
        <v>38</v>
      </c>
      <c r="BP32">
        <v>1</v>
      </c>
      <c r="BQ32">
        <v>3</v>
      </c>
      <c r="BR32">
        <v>0</v>
      </c>
      <c r="BS32">
        <v>1</v>
      </c>
      <c r="BT32">
        <v>1</v>
      </c>
      <c r="BU32">
        <v>1</v>
      </c>
      <c r="BV32">
        <v>1</v>
      </c>
      <c r="BW32">
        <v>1</v>
      </c>
      <c r="BX32">
        <v>1</v>
      </c>
      <c r="CF32">
        <v>0</v>
      </c>
      <c r="CG32">
        <v>0</v>
      </c>
      <c r="CM32">
        <v>0</v>
      </c>
      <c r="CO32">
        <v>0</v>
      </c>
      <c r="CP32">
        <f t="shared" si="23"/>
        <v>107.24</v>
      </c>
      <c r="CQ32">
        <f t="shared" si="24"/>
        <v>107.23999999999998</v>
      </c>
      <c r="CR32">
        <f t="shared" si="25"/>
        <v>0</v>
      </c>
      <c r="CS32">
        <f t="shared" si="26"/>
        <v>0</v>
      </c>
      <c r="CT32">
        <f t="shared" si="27"/>
        <v>0</v>
      </c>
      <c r="CU32">
        <f t="shared" si="28"/>
        <v>0</v>
      </c>
      <c r="CV32">
        <f t="shared" si="29"/>
        <v>0</v>
      </c>
      <c r="CW32">
        <f t="shared" si="30"/>
        <v>0</v>
      </c>
      <c r="CX32">
        <f t="shared" si="31"/>
        <v>0</v>
      </c>
      <c r="CY32">
        <f t="shared" si="32"/>
        <v>0</v>
      </c>
      <c r="CZ32">
        <f t="shared" si="33"/>
        <v>0</v>
      </c>
      <c r="DN32">
        <v>0</v>
      </c>
      <c r="DO32">
        <v>0</v>
      </c>
      <c r="DP32">
        <v>1</v>
      </c>
      <c r="DQ32">
        <v>1</v>
      </c>
      <c r="DR32">
        <v>1</v>
      </c>
      <c r="DS32">
        <v>1</v>
      </c>
      <c r="DT32">
        <v>1</v>
      </c>
      <c r="DU32">
        <v>1010</v>
      </c>
      <c r="DV32" t="s">
        <v>20</v>
      </c>
      <c r="DW32" t="s">
        <v>20</v>
      </c>
      <c r="DX32">
        <v>1</v>
      </c>
      <c r="EE32">
        <v>6294947</v>
      </c>
      <c r="EF32">
        <v>3</v>
      </c>
      <c r="EG32" t="s">
        <v>15</v>
      </c>
      <c r="EH32">
        <v>0</v>
      </c>
      <c r="EJ32">
        <v>2</v>
      </c>
      <c r="EK32">
        <v>55</v>
      </c>
      <c r="EL32" t="s">
        <v>22</v>
      </c>
      <c r="EM32" t="s">
        <v>23</v>
      </c>
      <c r="ET32">
        <v>2834.2</v>
      </c>
    </row>
    <row r="33" spans="1:150" ht="12.75">
      <c r="A33">
        <v>18</v>
      </c>
      <c r="B33">
        <v>1</v>
      </c>
      <c r="E33" t="s">
        <v>41</v>
      </c>
      <c r="G33" t="s">
        <v>42</v>
      </c>
      <c r="H33" t="s">
        <v>43</v>
      </c>
      <c r="I33">
        <f>I30*J33</f>
        <v>1</v>
      </c>
      <c r="J33">
        <v>1</v>
      </c>
      <c r="O33">
        <f t="shared" si="3"/>
        <v>40.96</v>
      </c>
      <c r="P33">
        <f t="shared" si="4"/>
        <v>40.96</v>
      </c>
      <c r="Q33">
        <f t="shared" si="5"/>
        <v>0</v>
      </c>
      <c r="R33">
        <f t="shared" si="6"/>
        <v>0</v>
      </c>
      <c r="S33">
        <f t="shared" si="7"/>
        <v>0</v>
      </c>
      <c r="T33">
        <f t="shared" si="8"/>
        <v>0</v>
      </c>
      <c r="U33">
        <f t="shared" si="9"/>
        <v>0</v>
      </c>
      <c r="V33">
        <f t="shared" si="10"/>
        <v>0</v>
      </c>
      <c r="W33">
        <f t="shared" si="11"/>
        <v>0</v>
      </c>
      <c r="X33">
        <f t="shared" si="12"/>
        <v>0</v>
      </c>
      <c r="Y33">
        <f t="shared" si="13"/>
        <v>0</v>
      </c>
      <c r="AA33">
        <v>0</v>
      </c>
      <c r="AB33">
        <f t="shared" si="14"/>
        <v>40.964</v>
      </c>
      <c r="AC33">
        <f t="shared" si="15"/>
        <v>40.964</v>
      </c>
      <c r="AD33">
        <f t="shared" si="16"/>
        <v>0</v>
      </c>
      <c r="AE33">
        <f t="shared" si="17"/>
        <v>0</v>
      </c>
      <c r="AF33">
        <f t="shared" si="18"/>
        <v>0</v>
      </c>
      <c r="AG33">
        <f t="shared" si="19"/>
        <v>0</v>
      </c>
      <c r="AH33">
        <f t="shared" si="20"/>
        <v>0</v>
      </c>
      <c r="AI33">
        <f t="shared" si="21"/>
        <v>0</v>
      </c>
      <c r="AJ33">
        <f t="shared" si="22"/>
        <v>0</v>
      </c>
      <c r="AK33">
        <v>29.26</v>
      </c>
      <c r="AL33" s="60">
        <f>29.26*($AL$23)</f>
        <v>40.964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80</v>
      </c>
      <c r="AU33">
        <v>60</v>
      </c>
      <c r="AV33">
        <v>1</v>
      </c>
      <c r="AW33">
        <v>1</v>
      </c>
      <c r="AX33">
        <v>1</v>
      </c>
      <c r="AY33">
        <v>1</v>
      </c>
      <c r="AZ33">
        <v>1</v>
      </c>
      <c r="BA33">
        <v>1</v>
      </c>
      <c r="BB33">
        <v>1</v>
      </c>
      <c r="BC33">
        <v>1</v>
      </c>
      <c r="BH33">
        <v>3</v>
      </c>
      <c r="BI33">
        <v>2</v>
      </c>
      <c r="BM33">
        <v>55</v>
      </c>
      <c r="BN33">
        <v>0</v>
      </c>
      <c r="BP33">
        <v>0</v>
      </c>
      <c r="BQ33">
        <v>3</v>
      </c>
      <c r="BR33">
        <v>0</v>
      </c>
      <c r="BS33">
        <v>1</v>
      </c>
      <c r="BT33">
        <v>1</v>
      </c>
      <c r="BU33">
        <v>1</v>
      </c>
      <c r="BV33">
        <v>1</v>
      </c>
      <c r="BW33">
        <v>1</v>
      </c>
      <c r="BX33">
        <v>1</v>
      </c>
      <c r="CF33">
        <v>0</v>
      </c>
      <c r="CG33">
        <v>0</v>
      </c>
      <c r="CM33">
        <v>0</v>
      </c>
      <c r="CO33">
        <v>0</v>
      </c>
      <c r="CP33">
        <f t="shared" si="23"/>
        <v>40.96</v>
      </c>
      <c r="CQ33">
        <f t="shared" si="24"/>
        <v>40.964</v>
      </c>
      <c r="CR33">
        <f t="shared" si="25"/>
        <v>0</v>
      </c>
      <c r="CS33">
        <f t="shared" si="26"/>
        <v>0</v>
      </c>
      <c r="CT33">
        <f t="shared" si="27"/>
        <v>0</v>
      </c>
      <c r="CU33">
        <f t="shared" si="28"/>
        <v>0</v>
      </c>
      <c r="CV33">
        <f t="shared" si="29"/>
        <v>0</v>
      </c>
      <c r="CW33">
        <f t="shared" si="30"/>
        <v>0</v>
      </c>
      <c r="CX33">
        <f t="shared" si="31"/>
        <v>0</v>
      </c>
      <c r="CY33">
        <f t="shared" si="32"/>
        <v>0</v>
      </c>
      <c r="CZ33">
        <f t="shared" si="33"/>
        <v>0</v>
      </c>
      <c r="DN33">
        <v>0</v>
      </c>
      <c r="DO33">
        <v>0</v>
      </c>
      <c r="DP33">
        <v>1</v>
      </c>
      <c r="DQ33">
        <v>1</v>
      </c>
      <c r="DR33">
        <v>1</v>
      </c>
      <c r="DS33">
        <v>1</v>
      </c>
      <c r="DT33">
        <v>1</v>
      </c>
      <c r="DU33">
        <v>1013</v>
      </c>
      <c r="DV33" t="s">
        <v>43</v>
      </c>
      <c r="DW33" t="s">
        <v>43</v>
      </c>
      <c r="DX33">
        <v>1</v>
      </c>
      <c r="EE33">
        <v>6294947</v>
      </c>
      <c r="EF33">
        <v>3</v>
      </c>
      <c r="EG33" t="s">
        <v>15</v>
      </c>
      <c r="EH33">
        <v>0</v>
      </c>
      <c r="EJ33">
        <v>2</v>
      </c>
      <c r="EK33">
        <v>55</v>
      </c>
      <c r="EL33" t="s">
        <v>22</v>
      </c>
      <c r="EM33" t="s">
        <v>23</v>
      </c>
      <c r="ET33">
        <v>1082.62</v>
      </c>
    </row>
    <row r="34" spans="1:150" ht="12.75">
      <c r="A34">
        <v>18</v>
      </c>
      <c r="B34">
        <v>1</v>
      </c>
      <c r="E34" t="s">
        <v>44</v>
      </c>
      <c r="G34" t="s">
        <v>45</v>
      </c>
      <c r="H34" t="s">
        <v>36</v>
      </c>
      <c r="I34">
        <f>I30*J34</f>
        <v>0.002</v>
      </c>
      <c r="J34">
        <v>0.002</v>
      </c>
      <c r="O34">
        <f t="shared" si="3"/>
        <v>1.86</v>
      </c>
      <c r="P34">
        <f t="shared" si="4"/>
        <v>1.86</v>
      </c>
      <c r="Q34">
        <f t="shared" si="5"/>
        <v>0</v>
      </c>
      <c r="R34">
        <f t="shared" si="6"/>
        <v>0</v>
      </c>
      <c r="S34">
        <f t="shared" si="7"/>
        <v>0</v>
      </c>
      <c r="T34">
        <f t="shared" si="8"/>
        <v>0</v>
      </c>
      <c r="U34">
        <f t="shared" si="9"/>
        <v>0</v>
      </c>
      <c r="V34">
        <f t="shared" si="10"/>
        <v>0</v>
      </c>
      <c r="W34">
        <f t="shared" si="11"/>
        <v>0</v>
      </c>
      <c r="X34">
        <f t="shared" si="12"/>
        <v>0</v>
      </c>
      <c r="Y34">
        <f t="shared" si="13"/>
        <v>0</v>
      </c>
      <c r="AA34">
        <v>0</v>
      </c>
      <c r="AB34">
        <f t="shared" si="14"/>
        <v>930.9999999999999</v>
      </c>
      <c r="AC34">
        <f t="shared" si="15"/>
        <v>930.9999999999999</v>
      </c>
      <c r="AD34">
        <f t="shared" si="16"/>
        <v>0</v>
      </c>
      <c r="AE34">
        <f t="shared" si="17"/>
        <v>0</v>
      </c>
      <c r="AF34">
        <f t="shared" si="18"/>
        <v>0</v>
      </c>
      <c r="AG34">
        <f t="shared" si="19"/>
        <v>0</v>
      </c>
      <c r="AH34">
        <f t="shared" si="20"/>
        <v>0</v>
      </c>
      <c r="AI34">
        <f t="shared" si="21"/>
        <v>0</v>
      </c>
      <c r="AJ34">
        <f t="shared" si="22"/>
        <v>0</v>
      </c>
      <c r="AK34">
        <v>665</v>
      </c>
      <c r="AL34" s="60">
        <f>665*($AL$23)</f>
        <v>930.9999999999999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80</v>
      </c>
      <c r="AU34">
        <v>60</v>
      </c>
      <c r="AV34">
        <v>1</v>
      </c>
      <c r="AW34">
        <v>1</v>
      </c>
      <c r="AX34">
        <v>1</v>
      </c>
      <c r="AY34">
        <v>1</v>
      </c>
      <c r="AZ34">
        <v>1</v>
      </c>
      <c r="BA34">
        <v>1</v>
      </c>
      <c r="BB34">
        <v>1</v>
      </c>
      <c r="BC34">
        <v>1</v>
      </c>
      <c r="BH34">
        <v>3</v>
      </c>
      <c r="BI34">
        <v>2</v>
      </c>
      <c r="BM34">
        <v>55</v>
      </c>
      <c r="BN34">
        <v>0</v>
      </c>
      <c r="BP34">
        <v>0</v>
      </c>
      <c r="BQ34">
        <v>3</v>
      </c>
      <c r="BR34">
        <v>0</v>
      </c>
      <c r="BS34">
        <v>1</v>
      </c>
      <c r="BT34">
        <v>1</v>
      </c>
      <c r="BU34">
        <v>1</v>
      </c>
      <c r="BV34">
        <v>1</v>
      </c>
      <c r="BW34">
        <v>1</v>
      </c>
      <c r="BX34">
        <v>1</v>
      </c>
      <c r="CF34">
        <v>0</v>
      </c>
      <c r="CG34">
        <v>0</v>
      </c>
      <c r="CM34">
        <v>0</v>
      </c>
      <c r="CO34">
        <v>0</v>
      </c>
      <c r="CP34">
        <f t="shared" si="23"/>
        <v>1.86</v>
      </c>
      <c r="CQ34">
        <f t="shared" si="24"/>
        <v>930.9999999999999</v>
      </c>
      <c r="CR34">
        <f t="shared" si="25"/>
        <v>0</v>
      </c>
      <c r="CS34">
        <f t="shared" si="26"/>
        <v>0</v>
      </c>
      <c r="CT34">
        <f t="shared" si="27"/>
        <v>0</v>
      </c>
      <c r="CU34">
        <f t="shared" si="28"/>
        <v>0</v>
      </c>
      <c r="CV34">
        <f t="shared" si="29"/>
        <v>0</v>
      </c>
      <c r="CW34">
        <f t="shared" si="30"/>
        <v>0</v>
      </c>
      <c r="CX34">
        <f t="shared" si="31"/>
        <v>0</v>
      </c>
      <c r="CY34">
        <f t="shared" si="32"/>
        <v>0</v>
      </c>
      <c r="CZ34">
        <f t="shared" si="33"/>
        <v>0</v>
      </c>
      <c r="DN34">
        <v>0</v>
      </c>
      <c r="DO34">
        <v>0</v>
      </c>
      <c r="DP34">
        <v>1</v>
      </c>
      <c r="DQ34">
        <v>1</v>
      </c>
      <c r="DR34">
        <v>1</v>
      </c>
      <c r="DS34">
        <v>1</v>
      </c>
      <c r="DT34">
        <v>1</v>
      </c>
      <c r="DU34">
        <v>1013</v>
      </c>
      <c r="DV34" t="s">
        <v>36</v>
      </c>
      <c r="DW34" t="s">
        <v>36</v>
      </c>
      <c r="DX34">
        <v>1</v>
      </c>
      <c r="EE34">
        <v>6294947</v>
      </c>
      <c r="EF34">
        <v>3</v>
      </c>
      <c r="EG34" t="s">
        <v>15</v>
      </c>
      <c r="EH34">
        <v>0</v>
      </c>
      <c r="EJ34">
        <v>2</v>
      </c>
      <c r="EK34">
        <v>55</v>
      </c>
      <c r="EL34" t="s">
        <v>22</v>
      </c>
      <c r="EM34" t="s">
        <v>23</v>
      </c>
      <c r="ET34">
        <v>49.21</v>
      </c>
    </row>
    <row r="35" spans="1:150" ht="12.75">
      <c r="A35">
        <v>18</v>
      </c>
      <c r="B35">
        <v>1</v>
      </c>
      <c r="E35" t="s">
        <v>46</v>
      </c>
      <c r="G35" t="s">
        <v>47</v>
      </c>
      <c r="H35" t="s">
        <v>43</v>
      </c>
      <c r="I35">
        <f>I30*J35</f>
        <v>1</v>
      </c>
      <c r="J35">
        <v>1</v>
      </c>
      <c r="O35">
        <f t="shared" si="3"/>
        <v>5.59</v>
      </c>
      <c r="P35">
        <f t="shared" si="4"/>
        <v>5.59</v>
      </c>
      <c r="Q35">
        <f t="shared" si="5"/>
        <v>0</v>
      </c>
      <c r="R35">
        <f t="shared" si="6"/>
        <v>0</v>
      </c>
      <c r="S35">
        <f t="shared" si="7"/>
        <v>0</v>
      </c>
      <c r="T35">
        <f t="shared" si="8"/>
        <v>0</v>
      </c>
      <c r="U35">
        <f t="shared" si="9"/>
        <v>0</v>
      </c>
      <c r="V35">
        <f t="shared" si="10"/>
        <v>0</v>
      </c>
      <c r="W35">
        <f t="shared" si="11"/>
        <v>0</v>
      </c>
      <c r="X35">
        <f t="shared" si="12"/>
        <v>0</v>
      </c>
      <c r="Y35">
        <f t="shared" si="13"/>
        <v>0</v>
      </c>
      <c r="AA35">
        <v>0</v>
      </c>
      <c r="AB35">
        <f t="shared" si="14"/>
        <v>5.586</v>
      </c>
      <c r="AC35">
        <f t="shared" si="15"/>
        <v>5.586</v>
      </c>
      <c r="AD35">
        <f t="shared" si="16"/>
        <v>0</v>
      </c>
      <c r="AE35">
        <f t="shared" si="17"/>
        <v>0</v>
      </c>
      <c r="AF35">
        <f t="shared" si="18"/>
        <v>0</v>
      </c>
      <c r="AG35">
        <f t="shared" si="19"/>
        <v>0</v>
      </c>
      <c r="AH35">
        <f t="shared" si="20"/>
        <v>0</v>
      </c>
      <c r="AI35">
        <f t="shared" si="21"/>
        <v>0</v>
      </c>
      <c r="AJ35">
        <f t="shared" si="22"/>
        <v>0</v>
      </c>
      <c r="AK35">
        <v>3.99</v>
      </c>
      <c r="AL35" s="60">
        <f>3.99*($AL$23)</f>
        <v>5.586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80</v>
      </c>
      <c r="AU35">
        <v>60</v>
      </c>
      <c r="AV35">
        <v>1</v>
      </c>
      <c r="AW35">
        <v>1</v>
      </c>
      <c r="AX35">
        <v>1</v>
      </c>
      <c r="AY35">
        <v>1</v>
      </c>
      <c r="AZ35">
        <v>1</v>
      </c>
      <c r="BA35">
        <v>1</v>
      </c>
      <c r="BB35">
        <v>1</v>
      </c>
      <c r="BC35">
        <v>1</v>
      </c>
      <c r="BH35">
        <v>3</v>
      </c>
      <c r="BI35">
        <v>2</v>
      </c>
      <c r="BM35">
        <v>55</v>
      </c>
      <c r="BN35">
        <v>0</v>
      </c>
      <c r="BP35">
        <v>0</v>
      </c>
      <c r="BQ35">
        <v>3</v>
      </c>
      <c r="BR35">
        <v>0</v>
      </c>
      <c r="BS35">
        <v>1</v>
      </c>
      <c r="BT35">
        <v>1</v>
      </c>
      <c r="BU35">
        <v>1</v>
      </c>
      <c r="BV35">
        <v>1</v>
      </c>
      <c r="BW35">
        <v>1</v>
      </c>
      <c r="BX35">
        <v>1</v>
      </c>
      <c r="CF35">
        <v>0</v>
      </c>
      <c r="CG35">
        <v>0</v>
      </c>
      <c r="CM35">
        <v>0</v>
      </c>
      <c r="CO35">
        <v>0</v>
      </c>
      <c r="CP35">
        <f t="shared" si="23"/>
        <v>5.59</v>
      </c>
      <c r="CQ35">
        <f t="shared" si="24"/>
        <v>5.586</v>
      </c>
      <c r="CR35">
        <f t="shared" si="25"/>
        <v>0</v>
      </c>
      <c r="CS35">
        <f t="shared" si="26"/>
        <v>0</v>
      </c>
      <c r="CT35">
        <f t="shared" si="27"/>
        <v>0</v>
      </c>
      <c r="CU35">
        <f t="shared" si="28"/>
        <v>0</v>
      </c>
      <c r="CV35">
        <f t="shared" si="29"/>
        <v>0</v>
      </c>
      <c r="CW35">
        <f t="shared" si="30"/>
        <v>0</v>
      </c>
      <c r="CX35">
        <f t="shared" si="31"/>
        <v>0</v>
      </c>
      <c r="CY35">
        <f t="shared" si="32"/>
        <v>0</v>
      </c>
      <c r="CZ35">
        <f t="shared" si="33"/>
        <v>0</v>
      </c>
      <c r="DN35">
        <v>0</v>
      </c>
      <c r="DO35">
        <v>0</v>
      </c>
      <c r="DP35">
        <v>1</v>
      </c>
      <c r="DQ35">
        <v>1</v>
      </c>
      <c r="DR35">
        <v>1</v>
      </c>
      <c r="DS35">
        <v>1</v>
      </c>
      <c r="DT35">
        <v>1</v>
      </c>
      <c r="DU35">
        <v>1013</v>
      </c>
      <c r="DV35" t="s">
        <v>43</v>
      </c>
      <c r="DW35" t="s">
        <v>43</v>
      </c>
      <c r="DX35">
        <v>1</v>
      </c>
      <c r="EE35">
        <v>6294947</v>
      </c>
      <c r="EF35">
        <v>3</v>
      </c>
      <c r="EG35" t="s">
        <v>15</v>
      </c>
      <c r="EH35">
        <v>0</v>
      </c>
      <c r="EJ35">
        <v>2</v>
      </c>
      <c r="EK35">
        <v>55</v>
      </c>
      <c r="EL35" t="s">
        <v>22</v>
      </c>
      <c r="EM35" t="s">
        <v>23</v>
      </c>
      <c r="ET35">
        <v>147.63</v>
      </c>
    </row>
    <row r="36" spans="1:150" ht="12.75">
      <c r="A36">
        <v>17</v>
      </c>
      <c r="B36">
        <v>1</v>
      </c>
      <c r="C36">
        <f>ROW(SmtRes!A60)</f>
        <v>60</v>
      </c>
      <c r="D36" t="s">
        <v>49</v>
      </c>
      <c r="E36" t="s">
        <v>48</v>
      </c>
      <c r="F36" t="s">
        <v>49</v>
      </c>
      <c r="G36" t="s">
        <v>50</v>
      </c>
      <c r="H36" t="s">
        <v>20</v>
      </c>
      <c r="I36">
        <v>17</v>
      </c>
      <c r="J36">
        <v>0</v>
      </c>
      <c r="O36">
        <f t="shared" si="3"/>
        <v>202.37</v>
      </c>
      <c r="P36">
        <f t="shared" si="4"/>
        <v>28.8</v>
      </c>
      <c r="Q36">
        <f t="shared" si="5"/>
        <v>0</v>
      </c>
      <c r="R36">
        <f t="shared" si="6"/>
        <v>0</v>
      </c>
      <c r="S36">
        <f t="shared" si="7"/>
        <v>173.57</v>
      </c>
      <c r="T36">
        <f t="shared" si="8"/>
        <v>0</v>
      </c>
      <c r="U36">
        <f t="shared" si="9"/>
        <v>17.51</v>
      </c>
      <c r="V36">
        <f t="shared" si="10"/>
        <v>0</v>
      </c>
      <c r="W36">
        <f t="shared" si="11"/>
        <v>0</v>
      </c>
      <c r="X36">
        <f t="shared" si="12"/>
        <v>138.86</v>
      </c>
      <c r="Y36">
        <f t="shared" si="13"/>
        <v>104.14</v>
      </c>
      <c r="AA36">
        <v>0</v>
      </c>
      <c r="AB36">
        <f t="shared" si="14"/>
        <v>11.904</v>
      </c>
      <c r="AC36">
        <f t="shared" si="15"/>
        <v>1.694</v>
      </c>
      <c r="AD36">
        <f t="shared" si="16"/>
        <v>0</v>
      </c>
      <c r="AE36">
        <f t="shared" si="17"/>
        <v>0</v>
      </c>
      <c r="AF36">
        <f t="shared" si="18"/>
        <v>10.21</v>
      </c>
      <c r="AG36">
        <f t="shared" si="19"/>
        <v>0</v>
      </c>
      <c r="AH36">
        <f t="shared" si="20"/>
        <v>1.03</v>
      </c>
      <c r="AI36">
        <f t="shared" si="21"/>
        <v>0</v>
      </c>
      <c r="AJ36">
        <f t="shared" si="22"/>
        <v>0</v>
      </c>
      <c r="AK36">
        <v>11.42</v>
      </c>
      <c r="AL36" s="60">
        <f>1.21*($AL$23)</f>
        <v>1.694</v>
      </c>
      <c r="AM36">
        <v>0</v>
      </c>
      <c r="AN36">
        <v>0</v>
      </c>
      <c r="AO36">
        <v>10.21</v>
      </c>
      <c r="AP36">
        <v>0</v>
      </c>
      <c r="AQ36">
        <v>1.03</v>
      </c>
      <c r="AR36">
        <v>0</v>
      </c>
      <c r="AS36">
        <v>0</v>
      </c>
      <c r="AT36">
        <v>80</v>
      </c>
      <c r="AU36">
        <v>60</v>
      </c>
      <c r="AV36">
        <v>1</v>
      </c>
      <c r="AW36">
        <v>1</v>
      </c>
      <c r="AX36">
        <v>1</v>
      </c>
      <c r="AY36">
        <v>1</v>
      </c>
      <c r="AZ36">
        <v>1</v>
      </c>
      <c r="BA36">
        <v>1</v>
      </c>
      <c r="BB36">
        <v>1</v>
      </c>
      <c r="BC36">
        <v>1</v>
      </c>
      <c r="BH36">
        <v>0</v>
      </c>
      <c r="BI36">
        <v>2</v>
      </c>
      <c r="BJ36" t="s">
        <v>51</v>
      </c>
      <c r="BM36">
        <v>55</v>
      </c>
      <c r="BN36">
        <v>0</v>
      </c>
      <c r="BO36" t="s">
        <v>49</v>
      </c>
      <c r="BP36">
        <v>1</v>
      </c>
      <c r="BQ36">
        <v>3</v>
      </c>
      <c r="BR36">
        <v>0</v>
      </c>
      <c r="BS36">
        <v>1</v>
      </c>
      <c r="BT36">
        <v>1</v>
      </c>
      <c r="BU36">
        <v>1</v>
      </c>
      <c r="BV36">
        <v>1</v>
      </c>
      <c r="BW36">
        <v>1</v>
      </c>
      <c r="BX36">
        <v>1</v>
      </c>
      <c r="CF36">
        <v>0</v>
      </c>
      <c r="CG36">
        <v>0</v>
      </c>
      <c r="CM36">
        <v>0</v>
      </c>
      <c r="CO36">
        <v>0</v>
      </c>
      <c r="CP36">
        <f t="shared" si="23"/>
        <v>202.37</v>
      </c>
      <c r="CQ36">
        <f t="shared" si="24"/>
        <v>1.694</v>
      </c>
      <c r="CR36">
        <f t="shared" si="25"/>
        <v>0</v>
      </c>
      <c r="CS36">
        <f t="shared" si="26"/>
        <v>0</v>
      </c>
      <c r="CT36">
        <f t="shared" si="27"/>
        <v>10.21</v>
      </c>
      <c r="CU36">
        <f t="shared" si="28"/>
        <v>0</v>
      </c>
      <c r="CV36">
        <f t="shared" si="29"/>
        <v>1.03</v>
      </c>
      <c r="CW36">
        <f t="shared" si="30"/>
        <v>0</v>
      </c>
      <c r="CX36">
        <f t="shared" si="31"/>
        <v>0</v>
      </c>
      <c r="CY36">
        <f t="shared" si="32"/>
        <v>138.856</v>
      </c>
      <c r="CZ36">
        <f t="shared" si="33"/>
        <v>104.142</v>
      </c>
      <c r="DN36">
        <v>0</v>
      </c>
      <c r="DO36">
        <v>0</v>
      </c>
      <c r="DP36">
        <v>1</v>
      </c>
      <c r="DQ36">
        <v>1</v>
      </c>
      <c r="DR36">
        <v>1</v>
      </c>
      <c r="DS36">
        <v>1</v>
      </c>
      <c r="DT36">
        <v>1</v>
      </c>
      <c r="DU36">
        <v>1010</v>
      </c>
      <c r="DV36" t="s">
        <v>20</v>
      </c>
      <c r="DW36" t="s">
        <v>20</v>
      </c>
      <c r="DX36">
        <v>1</v>
      </c>
      <c r="EE36">
        <v>6294947</v>
      </c>
      <c r="EF36">
        <v>3</v>
      </c>
      <c r="EG36" t="s">
        <v>15</v>
      </c>
      <c r="EH36">
        <v>0</v>
      </c>
      <c r="EJ36">
        <v>2</v>
      </c>
      <c r="EK36">
        <v>55</v>
      </c>
      <c r="EL36" t="s">
        <v>22</v>
      </c>
      <c r="EM36" t="s">
        <v>23</v>
      </c>
      <c r="ET36">
        <v>7183.18</v>
      </c>
    </row>
    <row r="37" spans="1:150" ht="12.75">
      <c r="A37">
        <v>17</v>
      </c>
      <c r="B37">
        <v>1</v>
      </c>
      <c r="C37">
        <f>ROW(SmtRes!A65)</f>
        <v>65</v>
      </c>
      <c r="D37" t="s">
        <v>53</v>
      </c>
      <c r="E37" t="s">
        <v>52</v>
      </c>
      <c r="F37" t="s">
        <v>53</v>
      </c>
      <c r="G37" t="s">
        <v>54</v>
      </c>
      <c r="H37" t="s">
        <v>55</v>
      </c>
      <c r="I37">
        <v>3</v>
      </c>
      <c r="J37">
        <v>0</v>
      </c>
      <c r="O37">
        <f t="shared" si="3"/>
        <v>473.29</v>
      </c>
      <c r="P37">
        <f t="shared" si="4"/>
        <v>77.11</v>
      </c>
      <c r="Q37">
        <f t="shared" si="5"/>
        <v>129.21</v>
      </c>
      <c r="R37">
        <f t="shared" si="6"/>
        <v>15.6</v>
      </c>
      <c r="S37">
        <f t="shared" si="7"/>
        <v>266.97</v>
      </c>
      <c r="T37">
        <f t="shared" si="8"/>
        <v>0</v>
      </c>
      <c r="U37">
        <f t="shared" si="9"/>
        <v>26.94</v>
      </c>
      <c r="V37">
        <f t="shared" si="10"/>
        <v>1.32</v>
      </c>
      <c r="W37">
        <f t="shared" si="11"/>
        <v>0</v>
      </c>
      <c r="X37">
        <f t="shared" si="12"/>
        <v>226.06</v>
      </c>
      <c r="Y37">
        <f t="shared" si="13"/>
        <v>169.54</v>
      </c>
      <c r="AA37">
        <v>0</v>
      </c>
      <c r="AB37">
        <f t="shared" si="14"/>
        <v>157.764</v>
      </c>
      <c r="AC37">
        <f t="shared" si="15"/>
        <v>25.703999999999997</v>
      </c>
      <c r="AD37">
        <f t="shared" si="16"/>
        <v>43.07</v>
      </c>
      <c r="AE37">
        <f t="shared" si="17"/>
        <v>5.2</v>
      </c>
      <c r="AF37">
        <f t="shared" si="18"/>
        <v>88.99</v>
      </c>
      <c r="AG37">
        <f t="shared" si="19"/>
        <v>0</v>
      </c>
      <c r="AH37">
        <f t="shared" si="20"/>
        <v>8.98</v>
      </c>
      <c r="AI37">
        <f t="shared" si="21"/>
        <v>0.44</v>
      </c>
      <c r="AJ37">
        <f t="shared" si="22"/>
        <v>0</v>
      </c>
      <c r="AK37">
        <v>150.42</v>
      </c>
      <c r="AL37" s="60">
        <f>18.36*($AL$23)</f>
        <v>25.703999999999997</v>
      </c>
      <c r="AM37">
        <v>43.07</v>
      </c>
      <c r="AN37">
        <v>5.2</v>
      </c>
      <c r="AO37">
        <v>88.99</v>
      </c>
      <c r="AP37">
        <v>0</v>
      </c>
      <c r="AQ37">
        <v>8.98</v>
      </c>
      <c r="AR37">
        <v>0.44</v>
      </c>
      <c r="AS37">
        <v>0</v>
      </c>
      <c r="AT37">
        <v>80</v>
      </c>
      <c r="AU37">
        <v>60</v>
      </c>
      <c r="AV37">
        <v>1</v>
      </c>
      <c r="AW37">
        <v>1</v>
      </c>
      <c r="AX37">
        <v>1</v>
      </c>
      <c r="AY37">
        <v>1</v>
      </c>
      <c r="AZ37">
        <v>1</v>
      </c>
      <c r="BA37">
        <v>1</v>
      </c>
      <c r="BB37">
        <v>1</v>
      </c>
      <c r="BC37">
        <v>1</v>
      </c>
      <c r="BH37">
        <v>0</v>
      </c>
      <c r="BI37">
        <v>2</v>
      </c>
      <c r="BJ37" t="s">
        <v>56</v>
      </c>
      <c r="BM37">
        <v>55</v>
      </c>
      <c r="BN37">
        <v>0</v>
      </c>
      <c r="BO37" t="s">
        <v>53</v>
      </c>
      <c r="BP37">
        <v>1</v>
      </c>
      <c r="BQ37">
        <v>3</v>
      </c>
      <c r="BR37">
        <v>0</v>
      </c>
      <c r="BS37">
        <v>1</v>
      </c>
      <c r="BT37">
        <v>1</v>
      </c>
      <c r="BU37">
        <v>1</v>
      </c>
      <c r="BV37">
        <v>1</v>
      </c>
      <c r="BW37">
        <v>1</v>
      </c>
      <c r="BX37">
        <v>1</v>
      </c>
      <c r="CF37">
        <v>0</v>
      </c>
      <c r="CG37">
        <v>0</v>
      </c>
      <c r="CM37">
        <v>0</v>
      </c>
      <c r="CO37">
        <v>0</v>
      </c>
      <c r="CP37">
        <f t="shared" si="23"/>
        <v>473.29</v>
      </c>
      <c r="CQ37">
        <f t="shared" si="24"/>
        <v>25.703999999999997</v>
      </c>
      <c r="CR37">
        <f t="shared" si="25"/>
        <v>43.07</v>
      </c>
      <c r="CS37">
        <f t="shared" si="26"/>
        <v>5.2</v>
      </c>
      <c r="CT37">
        <f t="shared" si="27"/>
        <v>88.99</v>
      </c>
      <c r="CU37">
        <f t="shared" si="28"/>
        <v>0</v>
      </c>
      <c r="CV37">
        <f t="shared" si="29"/>
        <v>8.98</v>
      </c>
      <c r="CW37">
        <f t="shared" si="30"/>
        <v>0.44</v>
      </c>
      <c r="CX37">
        <f t="shared" si="31"/>
        <v>0</v>
      </c>
      <c r="CY37">
        <f t="shared" si="32"/>
        <v>226.05600000000007</v>
      </c>
      <c r="CZ37">
        <f t="shared" si="33"/>
        <v>169.54200000000003</v>
      </c>
      <c r="DN37">
        <v>0</v>
      </c>
      <c r="DO37">
        <v>0</v>
      </c>
      <c r="DP37">
        <v>1</v>
      </c>
      <c r="DQ37">
        <v>1</v>
      </c>
      <c r="DR37">
        <v>1</v>
      </c>
      <c r="DS37">
        <v>1</v>
      </c>
      <c r="DT37">
        <v>1</v>
      </c>
      <c r="DU37">
        <v>1013</v>
      </c>
      <c r="DV37" t="s">
        <v>55</v>
      </c>
      <c r="DW37" t="s">
        <v>55</v>
      </c>
      <c r="DX37">
        <v>1</v>
      </c>
      <c r="EE37">
        <v>6294947</v>
      </c>
      <c r="EF37">
        <v>3</v>
      </c>
      <c r="EG37" t="s">
        <v>15</v>
      </c>
      <c r="EH37">
        <v>0</v>
      </c>
      <c r="EJ37">
        <v>2</v>
      </c>
      <c r="EK37">
        <v>55</v>
      </c>
      <c r="EL37" t="s">
        <v>22</v>
      </c>
      <c r="EM37" t="s">
        <v>23</v>
      </c>
      <c r="ET37">
        <v>16696.62</v>
      </c>
    </row>
    <row r="38" spans="1:150" ht="12.75">
      <c r="A38">
        <v>17</v>
      </c>
      <c r="B38">
        <v>1</v>
      </c>
      <c r="C38">
        <f>ROW(SmtRes!A69)</f>
        <v>69</v>
      </c>
      <c r="D38" t="s">
        <v>58</v>
      </c>
      <c r="E38" t="s">
        <v>57</v>
      </c>
      <c r="F38" t="s">
        <v>58</v>
      </c>
      <c r="G38" t="s">
        <v>59</v>
      </c>
      <c r="H38" t="s">
        <v>60</v>
      </c>
      <c r="I38">
        <v>0.5</v>
      </c>
      <c r="J38">
        <v>0</v>
      </c>
      <c r="O38">
        <f t="shared" si="3"/>
        <v>73.61</v>
      </c>
      <c r="P38">
        <f t="shared" si="4"/>
        <v>4.91</v>
      </c>
      <c r="Q38">
        <f t="shared" si="5"/>
        <v>0</v>
      </c>
      <c r="R38">
        <f t="shared" si="6"/>
        <v>0</v>
      </c>
      <c r="S38">
        <f t="shared" si="7"/>
        <v>68.7</v>
      </c>
      <c r="T38">
        <f t="shared" si="8"/>
        <v>0</v>
      </c>
      <c r="U38">
        <f t="shared" si="9"/>
        <v>6.2</v>
      </c>
      <c r="V38">
        <f t="shared" si="10"/>
        <v>0</v>
      </c>
      <c r="W38">
        <f t="shared" si="11"/>
        <v>0</v>
      </c>
      <c r="X38">
        <f t="shared" si="12"/>
        <v>54.96</v>
      </c>
      <c r="Y38">
        <f t="shared" si="13"/>
        <v>41.22</v>
      </c>
      <c r="AA38">
        <v>0</v>
      </c>
      <c r="AB38">
        <f t="shared" si="14"/>
        <v>147.218</v>
      </c>
      <c r="AC38">
        <f t="shared" si="15"/>
        <v>9.828</v>
      </c>
      <c r="AD38">
        <f t="shared" si="16"/>
        <v>0</v>
      </c>
      <c r="AE38">
        <f t="shared" si="17"/>
        <v>0</v>
      </c>
      <c r="AF38">
        <f t="shared" si="18"/>
        <v>137.39</v>
      </c>
      <c r="AG38">
        <f t="shared" si="19"/>
        <v>0</v>
      </c>
      <c r="AH38">
        <f t="shared" si="20"/>
        <v>12.4</v>
      </c>
      <c r="AI38">
        <f t="shared" si="21"/>
        <v>0</v>
      </c>
      <c r="AJ38">
        <f t="shared" si="22"/>
        <v>0</v>
      </c>
      <c r="AK38">
        <v>144.41</v>
      </c>
      <c r="AL38" s="60">
        <f>7.02*($AL$23)</f>
        <v>9.828</v>
      </c>
      <c r="AM38">
        <v>0</v>
      </c>
      <c r="AN38">
        <v>0</v>
      </c>
      <c r="AO38">
        <v>137.39</v>
      </c>
      <c r="AP38">
        <v>0</v>
      </c>
      <c r="AQ38">
        <v>12.4</v>
      </c>
      <c r="AR38">
        <v>0</v>
      </c>
      <c r="AS38">
        <v>0</v>
      </c>
      <c r="AT38">
        <v>80</v>
      </c>
      <c r="AU38">
        <v>60</v>
      </c>
      <c r="AV38">
        <v>1</v>
      </c>
      <c r="AW38">
        <v>1</v>
      </c>
      <c r="AX38">
        <v>1</v>
      </c>
      <c r="AY38">
        <v>1</v>
      </c>
      <c r="AZ38">
        <v>1</v>
      </c>
      <c r="BA38">
        <v>1</v>
      </c>
      <c r="BB38">
        <v>1</v>
      </c>
      <c r="BC38">
        <v>1</v>
      </c>
      <c r="BH38">
        <v>0</v>
      </c>
      <c r="BI38">
        <v>2</v>
      </c>
      <c r="BJ38" t="s">
        <v>61</v>
      </c>
      <c r="BM38">
        <v>55</v>
      </c>
      <c r="BN38">
        <v>0</v>
      </c>
      <c r="BO38" t="s">
        <v>58</v>
      </c>
      <c r="BP38">
        <v>1</v>
      </c>
      <c r="BQ38">
        <v>3</v>
      </c>
      <c r="BR38">
        <v>0</v>
      </c>
      <c r="BS38">
        <v>1</v>
      </c>
      <c r="BT38">
        <v>1</v>
      </c>
      <c r="BU38">
        <v>1</v>
      </c>
      <c r="BV38">
        <v>1</v>
      </c>
      <c r="BW38">
        <v>1</v>
      </c>
      <c r="BX38">
        <v>1</v>
      </c>
      <c r="CF38">
        <v>0</v>
      </c>
      <c r="CG38">
        <v>0</v>
      </c>
      <c r="CM38">
        <v>0</v>
      </c>
      <c r="CO38">
        <v>0</v>
      </c>
      <c r="CP38">
        <f t="shared" si="23"/>
        <v>73.61</v>
      </c>
      <c r="CQ38">
        <f t="shared" si="24"/>
        <v>9.828</v>
      </c>
      <c r="CR38">
        <f t="shared" si="25"/>
        <v>0</v>
      </c>
      <c r="CS38">
        <f t="shared" si="26"/>
        <v>0</v>
      </c>
      <c r="CT38">
        <f t="shared" si="27"/>
        <v>137.39</v>
      </c>
      <c r="CU38">
        <f t="shared" si="28"/>
        <v>0</v>
      </c>
      <c r="CV38">
        <f t="shared" si="29"/>
        <v>12.4</v>
      </c>
      <c r="CW38">
        <f t="shared" si="30"/>
        <v>0</v>
      </c>
      <c r="CX38">
        <f t="shared" si="31"/>
        <v>0</v>
      </c>
      <c r="CY38">
        <f t="shared" si="32"/>
        <v>54.96</v>
      </c>
      <c r="CZ38">
        <f t="shared" si="33"/>
        <v>41.22</v>
      </c>
      <c r="DN38">
        <v>0</v>
      </c>
      <c r="DO38">
        <v>0</v>
      </c>
      <c r="DP38">
        <v>1</v>
      </c>
      <c r="DQ38">
        <v>1</v>
      </c>
      <c r="DR38">
        <v>1</v>
      </c>
      <c r="DS38">
        <v>1</v>
      </c>
      <c r="DT38">
        <v>1</v>
      </c>
      <c r="DU38">
        <v>1003</v>
      </c>
      <c r="DV38" t="s">
        <v>60</v>
      </c>
      <c r="DW38" t="s">
        <v>60</v>
      </c>
      <c r="DX38">
        <v>100</v>
      </c>
      <c r="EE38">
        <v>6294947</v>
      </c>
      <c r="EF38">
        <v>3</v>
      </c>
      <c r="EG38" t="s">
        <v>15</v>
      </c>
      <c r="EH38">
        <v>0</v>
      </c>
      <c r="EJ38">
        <v>2</v>
      </c>
      <c r="EK38">
        <v>55</v>
      </c>
      <c r="EL38" t="s">
        <v>22</v>
      </c>
      <c r="EM38" t="s">
        <v>23</v>
      </c>
      <c r="ET38">
        <v>2671.77</v>
      </c>
    </row>
    <row r="39" spans="1:150" ht="12.75">
      <c r="A39">
        <v>18</v>
      </c>
      <c r="B39">
        <v>1</v>
      </c>
      <c r="D39" t="s">
        <v>63</v>
      </c>
      <c r="E39" t="s">
        <v>62</v>
      </c>
      <c r="G39" t="s">
        <v>64</v>
      </c>
      <c r="H39" t="s">
        <v>65</v>
      </c>
      <c r="I39">
        <f>I38*J39</f>
        <v>0.05</v>
      </c>
      <c r="J39">
        <v>0.1</v>
      </c>
      <c r="O39">
        <f t="shared" si="3"/>
        <v>80.79</v>
      </c>
      <c r="P39">
        <f t="shared" si="4"/>
        <v>80.79</v>
      </c>
      <c r="Q39">
        <f t="shared" si="5"/>
        <v>0</v>
      </c>
      <c r="R39">
        <f t="shared" si="6"/>
        <v>0</v>
      </c>
      <c r="S39">
        <f t="shared" si="7"/>
        <v>0</v>
      </c>
      <c r="T39">
        <f t="shared" si="8"/>
        <v>0</v>
      </c>
      <c r="U39">
        <f t="shared" si="9"/>
        <v>0</v>
      </c>
      <c r="V39">
        <f t="shared" si="10"/>
        <v>0</v>
      </c>
      <c r="W39">
        <f t="shared" si="11"/>
        <v>0</v>
      </c>
      <c r="X39">
        <f t="shared" si="12"/>
        <v>0</v>
      </c>
      <c r="Y39">
        <f t="shared" si="13"/>
        <v>0</v>
      </c>
      <c r="AA39">
        <v>0</v>
      </c>
      <c r="AB39">
        <f t="shared" si="14"/>
        <v>1615.852</v>
      </c>
      <c r="AC39">
        <f t="shared" si="15"/>
        <v>1615.852</v>
      </c>
      <c r="AD39">
        <f t="shared" si="16"/>
        <v>0</v>
      </c>
      <c r="AE39">
        <f t="shared" si="17"/>
        <v>0</v>
      </c>
      <c r="AF39">
        <f t="shared" si="18"/>
        <v>0</v>
      </c>
      <c r="AG39">
        <f t="shared" si="19"/>
        <v>0</v>
      </c>
      <c r="AH39">
        <f t="shared" si="20"/>
        <v>0</v>
      </c>
      <c r="AI39">
        <f t="shared" si="21"/>
        <v>0</v>
      </c>
      <c r="AJ39">
        <f t="shared" si="22"/>
        <v>0</v>
      </c>
      <c r="AK39">
        <v>1154.18</v>
      </c>
      <c r="AL39" s="60">
        <f>1154.18*($AL$23)</f>
        <v>1615.852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80</v>
      </c>
      <c r="AU39">
        <v>60</v>
      </c>
      <c r="AV39">
        <v>1</v>
      </c>
      <c r="AW39">
        <v>1</v>
      </c>
      <c r="AX39">
        <v>1</v>
      </c>
      <c r="AY39">
        <v>1</v>
      </c>
      <c r="AZ39">
        <v>1</v>
      </c>
      <c r="BA39">
        <v>1</v>
      </c>
      <c r="BB39">
        <v>1</v>
      </c>
      <c r="BC39">
        <v>1</v>
      </c>
      <c r="BH39">
        <v>3</v>
      </c>
      <c r="BI39">
        <v>2</v>
      </c>
      <c r="BJ39" t="s">
        <v>66</v>
      </c>
      <c r="BM39">
        <v>55</v>
      </c>
      <c r="BN39">
        <v>0</v>
      </c>
      <c r="BO39" t="s">
        <v>63</v>
      </c>
      <c r="BP39">
        <v>1</v>
      </c>
      <c r="BQ39">
        <v>3</v>
      </c>
      <c r="BR39">
        <v>0</v>
      </c>
      <c r="BS39">
        <v>1</v>
      </c>
      <c r="BT39">
        <v>1</v>
      </c>
      <c r="BU39">
        <v>1</v>
      </c>
      <c r="BV39">
        <v>1</v>
      </c>
      <c r="BW39">
        <v>1</v>
      </c>
      <c r="BX39">
        <v>1</v>
      </c>
      <c r="CF39">
        <v>0</v>
      </c>
      <c r="CG39">
        <v>0</v>
      </c>
      <c r="CM39">
        <v>0</v>
      </c>
      <c r="CO39">
        <v>0</v>
      </c>
      <c r="CP39">
        <f t="shared" si="23"/>
        <v>80.79</v>
      </c>
      <c r="CQ39">
        <f t="shared" si="24"/>
        <v>1615.852</v>
      </c>
      <c r="CR39">
        <f t="shared" si="25"/>
        <v>0</v>
      </c>
      <c r="CS39">
        <f t="shared" si="26"/>
        <v>0</v>
      </c>
      <c r="CT39">
        <f t="shared" si="27"/>
        <v>0</v>
      </c>
      <c r="CU39">
        <f t="shared" si="28"/>
        <v>0</v>
      </c>
      <c r="CV39">
        <f t="shared" si="29"/>
        <v>0</v>
      </c>
      <c r="CW39">
        <f t="shared" si="30"/>
        <v>0</v>
      </c>
      <c r="CX39">
        <f t="shared" si="31"/>
        <v>0</v>
      </c>
      <c r="CY39">
        <f t="shared" si="32"/>
        <v>0</v>
      </c>
      <c r="CZ39">
        <f t="shared" si="33"/>
        <v>0</v>
      </c>
      <c r="DN39">
        <v>0</v>
      </c>
      <c r="DO39">
        <v>0</v>
      </c>
      <c r="DP39">
        <v>1</v>
      </c>
      <c r="DQ39">
        <v>1</v>
      </c>
      <c r="DR39">
        <v>1</v>
      </c>
      <c r="DS39">
        <v>1</v>
      </c>
      <c r="DT39">
        <v>1</v>
      </c>
      <c r="DU39">
        <v>1013</v>
      </c>
      <c r="DV39" t="s">
        <v>65</v>
      </c>
      <c r="DW39" t="s">
        <v>67</v>
      </c>
      <c r="DX39">
        <v>1</v>
      </c>
      <c r="EE39">
        <v>6294947</v>
      </c>
      <c r="EF39">
        <v>3</v>
      </c>
      <c r="EG39" t="s">
        <v>15</v>
      </c>
      <c r="EH39">
        <v>0</v>
      </c>
      <c r="EJ39">
        <v>2</v>
      </c>
      <c r="EK39">
        <v>55</v>
      </c>
      <c r="EL39" t="s">
        <v>22</v>
      </c>
      <c r="EM39" t="s">
        <v>23</v>
      </c>
      <c r="ET39">
        <v>2135.27</v>
      </c>
    </row>
    <row r="40" spans="1:150" ht="12.75">
      <c r="A40">
        <v>17</v>
      </c>
      <c r="B40">
        <v>1</v>
      </c>
      <c r="C40">
        <f>ROW(SmtRes!A82)</f>
        <v>82</v>
      </c>
      <c r="D40" t="s">
        <v>69</v>
      </c>
      <c r="E40" t="s">
        <v>68</v>
      </c>
      <c r="F40" t="s">
        <v>69</v>
      </c>
      <c r="G40" t="s">
        <v>70</v>
      </c>
      <c r="H40" t="s">
        <v>60</v>
      </c>
      <c r="I40">
        <v>0.14</v>
      </c>
      <c r="J40">
        <v>0</v>
      </c>
      <c r="O40">
        <f t="shared" si="3"/>
        <v>102.09</v>
      </c>
      <c r="P40">
        <f t="shared" si="4"/>
        <v>28.05</v>
      </c>
      <c r="Q40">
        <f t="shared" si="5"/>
        <v>57.36</v>
      </c>
      <c r="R40">
        <f t="shared" si="6"/>
        <v>6.25</v>
      </c>
      <c r="S40">
        <f t="shared" si="7"/>
        <v>16.68</v>
      </c>
      <c r="T40">
        <f t="shared" si="8"/>
        <v>0</v>
      </c>
      <c r="U40">
        <f t="shared" si="9"/>
        <v>1.74</v>
      </c>
      <c r="V40">
        <f t="shared" si="10"/>
        <v>0.53</v>
      </c>
      <c r="W40">
        <f t="shared" si="11"/>
        <v>0</v>
      </c>
      <c r="X40">
        <f t="shared" si="12"/>
        <v>21.78</v>
      </c>
      <c r="Y40">
        <f t="shared" si="13"/>
        <v>14.9</v>
      </c>
      <c r="AA40">
        <v>0</v>
      </c>
      <c r="AB40">
        <f t="shared" si="14"/>
        <v>729.2239999999999</v>
      </c>
      <c r="AC40">
        <f t="shared" si="15"/>
        <v>200.354</v>
      </c>
      <c r="AD40">
        <f t="shared" si="16"/>
        <v>409.71</v>
      </c>
      <c r="AE40">
        <f t="shared" si="17"/>
        <v>44.65</v>
      </c>
      <c r="AF40">
        <f t="shared" si="18"/>
        <v>119.16</v>
      </c>
      <c r="AG40">
        <f t="shared" si="19"/>
        <v>0</v>
      </c>
      <c r="AH40">
        <f t="shared" si="20"/>
        <v>12.4</v>
      </c>
      <c r="AI40">
        <f t="shared" si="21"/>
        <v>3.78</v>
      </c>
      <c r="AJ40">
        <f t="shared" si="22"/>
        <v>0</v>
      </c>
      <c r="AK40">
        <v>671.98</v>
      </c>
      <c r="AL40" s="60">
        <f>143.11*($AL$23)</f>
        <v>200.354</v>
      </c>
      <c r="AM40">
        <v>409.71</v>
      </c>
      <c r="AN40">
        <v>44.65</v>
      </c>
      <c r="AO40">
        <v>119.16</v>
      </c>
      <c r="AP40">
        <v>0</v>
      </c>
      <c r="AQ40">
        <v>12.4</v>
      </c>
      <c r="AR40">
        <v>3.78</v>
      </c>
      <c r="AS40">
        <v>0</v>
      </c>
      <c r="AT40">
        <v>95</v>
      </c>
      <c r="AU40">
        <v>65</v>
      </c>
      <c r="AV40">
        <v>1</v>
      </c>
      <c r="AW40">
        <v>1</v>
      </c>
      <c r="AX40">
        <v>1</v>
      </c>
      <c r="AY40">
        <v>1</v>
      </c>
      <c r="AZ40">
        <v>1</v>
      </c>
      <c r="BA40">
        <v>1</v>
      </c>
      <c r="BB40">
        <v>1</v>
      </c>
      <c r="BC40">
        <v>1</v>
      </c>
      <c r="BH40">
        <v>0</v>
      </c>
      <c r="BI40">
        <v>2</v>
      </c>
      <c r="BJ40" t="s">
        <v>71</v>
      </c>
      <c r="BM40">
        <v>57</v>
      </c>
      <c r="BN40">
        <v>0</v>
      </c>
      <c r="BO40" t="s">
        <v>69</v>
      </c>
      <c r="BP40">
        <v>1</v>
      </c>
      <c r="BQ40">
        <v>3</v>
      </c>
      <c r="BR40">
        <v>0</v>
      </c>
      <c r="BS40">
        <v>1</v>
      </c>
      <c r="BT40">
        <v>1</v>
      </c>
      <c r="BU40">
        <v>1</v>
      </c>
      <c r="BV40">
        <v>1</v>
      </c>
      <c r="BW40">
        <v>1</v>
      </c>
      <c r="BX40">
        <v>1</v>
      </c>
      <c r="CF40">
        <v>0</v>
      </c>
      <c r="CG40">
        <v>0</v>
      </c>
      <c r="CM40">
        <v>0</v>
      </c>
      <c r="CO40">
        <v>0</v>
      </c>
      <c r="CP40">
        <f t="shared" si="23"/>
        <v>102.09</v>
      </c>
      <c r="CQ40">
        <f t="shared" si="24"/>
        <v>200.354</v>
      </c>
      <c r="CR40">
        <f t="shared" si="25"/>
        <v>409.71</v>
      </c>
      <c r="CS40">
        <f t="shared" si="26"/>
        <v>44.65</v>
      </c>
      <c r="CT40">
        <f t="shared" si="27"/>
        <v>119.16</v>
      </c>
      <c r="CU40">
        <f t="shared" si="28"/>
        <v>0</v>
      </c>
      <c r="CV40">
        <f t="shared" si="29"/>
        <v>12.4</v>
      </c>
      <c r="CW40">
        <f t="shared" si="30"/>
        <v>3.78</v>
      </c>
      <c r="CX40">
        <f t="shared" si="31"/>
        <v>0</v>
      </c>
      <c r="CY40">
        <f t="shared" si="32"/>
        <v>21.7835</v>
      </c>
      <c r="CZ40">
        <f t="shared" si="33"/>
        <v>14.9045</v>
      </c>
      <c r="DN40">
        <v>0</v>
      </c>
      <c r="DO40">
        <v>0</v>
      </c>
      <c r="DP40">
        <v>1</v>
      </c>
      <c r="DQ40">
        <v>1</v>
      </c>
      <c r="DR40">
        <v>1</v>
      </c>
      <c r="DS40">
        <v>1</v>
      </c>
      <c r="DT40">
        <v>1</v>
      </c>
      <c r="DU40">
        <v>1003</v>
      </c>
      <c r="DV40" t="s">
        <v>60</v>
      </c>
      <c r="DW40" t="s">
        <v>72</v>
      </c>
      <c r="DX40">
        <v>100</v>
      </c>
      <c r="EE40">
        <v>6294949</v>
      </c>
      <c r="EF40">
        <v>3</v>
      </c>
      <c r="EG40" t="s">
        <v>15</v>
      </c>
      <c r="EH40">
        <v>0</v>
      </c>
      <c r="EJ40">
        <v>2</v>
      </c>
      <c r="EK40">
        <v>57</v>
      </c>
      <c r="EL40" t="s">
        <v>73</v>
      </c>
      <c r="EM40" t="s">
        <v>74</v>
      </c>
      <c r="ET40">
        <v>3480.96</v>
      </c>
    </row>
    <row r="41" spans="1:150" ht="12.75">
      <c r="A41">
        <v>17</v>
      </c>
      <c r="B41">
        <v>1</v>
      </c>
      <c r="C41">
        <f>ROW(SmtRes!A102)</f>
        <v>102</v>
      </c>
      <c r="D41" t="s">
        <v>76</v>
      </c>
      <c r="E41" t="s">
        <v>75</v>
      </c>
      <c r="F41" t="s">
        <v>76</v>
      </c>
      <c r="G41" t="s">
        <v>77</v>
      </c>
      <c r="H41" t="s">
        <v>60</v>
      </c>
      <c r="I41">
        <v>0.03</v>
      </c>
      <c r="J41">
        <v>0</v>
      </c>
      <c r="O41">
        <f t="shared" si="3"/>
        <v>23.75</v>
      </c>
      <c r="P41">
        <f t="shared" si="4"/>
        <v>4.24</v>
      </c>
      <c r="Q41">
        <f t="shared" si="5"/>
        <v>15.2</v>
      </c>
      <c r="R41">
        <f t="shared" si="6"/>
        <v>2.54</v>
      </c>
      <c r="S41">
        <f t="shared" si="7"/>
        <v>4.31</v>
      </c>
      <c r="T41">
        <f t="shared" si="8"/>
        <v>0</v>
      </c>
      <c r="U41">
        <f t="shared" si="9"/>
        <v>0.46</v>
      </c>
      <c r="V41">
        <f t="shared" si="10"/>
        <v>0.22</v>
      </c>
      <c r="W41">
        <f t="shared" si="11"/>
        <v>0</v>
      </c>
      <c r="X41">
        <f t="shared" si="12"/>
        <v>6.51</v>
      </c>
      <c r="Y41">
        <f t="shared" si="13"/>
        <v>4.45</v>
      </c>
      <c r="AA41">
        <v>0</v>
      </c>
      <c r="AB41">
        <f t="shared" si="14"/>
        <v>791.81</v>
      </c>
      <c r="AC41">
        <f t="shared" si="15"/>
        <v>141.32999999999998</v>
      </c>
      <c r="AD41">
        <f t="shared" si="16"/>
        <v>506.81</v>
      </c>
      <c r="AE41">
        <f t="shared" si="17"/>
        <v>84.68</v>
      </c>
      <c r="AF41">
        <f t="shared" si="18"/>
        <v>143.67</v>
      </c>
      <c r="AG41">
        <f t="shared" si="19"/>
        <v>0</v>
      </c>
      <c r="AH41">
        <f t="shared" si="20"/>
        <v>15.3</v>
      </c>
      <c r="AI41">
        <f t="shared" si="21"/>
        <v>7.17</v>
      </c>
      <c r="AJ41">
        <f t="shared" si="22"/>
        <v>0</v>
      </c>
      <c r="AK41">
        <v>751.43</v>
      </c>
      <c r="AL41" s="60">
        <f>100.95*($AL$23)</f>
        <v>141.32999999999998</v>
      </c>
      <c r="AM41">
        <v>506.81</v>
      </c>
      <c r="AN41">
        <v>84.68</v>
      </c>
      <c r="AO41">
        <v>143.67</v>
      </c>
      <c r="AP41">
        <v>0</v>
      </c>
      <c r="AQ41">
        <v>15.3</v>
      </c>
      <c r="AR41">
        <v>7.17</v>
      </c>
      <c r="AS41">
        <v>0</v>
      </c>
      <c r="AT41">
        <v>95</v>
      </c>
      <c r="AU41">
        <v>65</v>
      </c>
      <c r="AV41">
        <v>1</v>
      </c>
      <c r="AW41">
        <v>1</v>
      </c>
      <c r="AX41">
        <v>1</v>
      </c>
      <c r="AY41">
        <v>1</v>
      </c>
      <c r="AZ41">
        <v>1</v>
      </c>
      <c r="BA41">
        <v>1</v>
      </c>
      <c r="BB41">
        <v>1</v>
      </c>
      <c r="BC41">
        <v>1</v>
      </c>
      <c r="BH41">
        <v>0</v>
      </c>
      <c r="BI41">
        <v>2</v>
      </c>
      <c r="BJ41" t="s">
        <v>78</v>
      </c>
      <c r="BM41">
        <v>57</v>
      </c>
      <c r="BN41">
        <v>0</v>
      </c>
      <c r="BO41" t="s">
        <v>76</v>
      </c>
      <c r="BP41">
        <v>1</v>
      </c>
      <c r="BQ41">
        <v>3</v>
      </c>
      <c r="BR41">
        <v>0</v>
      </c>
      <c r="BS41">
        <v>1</v>
      </c>
      <c r="BT41">
        <v>1</v>
      </c>
      <c r="BU41">
        <v>1</v>
      </c>
      <c r="BV41">
        <v>1</v>
      </c>
      <c r="BW41">
        <v>1</v>
      </c>
      <c r="BX41">
        <v>1</v>
      </c>
      <c r="CF41">
        <v>0</v>
      </c>
      <c r="CG41">
        <v>0</v>
      </c>
      <c r="CM41">
        <v>0</v>
      </c>
      <c r="CO41">
        <v>0</v>
      </c>
      <c r="CP41">
        <f t="shared" si="23"/>
        <v>23.749999999999996</v>
      </c>
      <c r="CQ41">
        <f t="shared" si="24"/>
        <v>141.32999999999998</v>
      </c>
      <c r="CR41">
        <f t="shared" si="25"/>
        <v>506.81</v>
      </c>
      <c r="CS41">
        <f t="shared" si="26"/>
        <v>84.68</v>
      </c>
      <c r="CT41">
        <f t="shared" si="27"/>
        <v>143.67</v>
      </c>
      <c r="CU41">
        <f t="shared" si="28"/>
        <v>0</v>
      </c>
      <c r="CV41">
        <f t="shared" si="29"/>
        <v>15.3</v>
      </c>
      <c r="CW41">
        <f t="shared" si="30"/>
        <v>7.17</v>
      </c>
      <c r="CX41">
        <f t="shared" si="31"/>
        <v>0</v>
      </c>
      <c r="CY41">
        <f t="shared" si="32"/>
        <v>6.5075</v>
      </c>
      <c r="CZ41">
        <f t="shared" si="33"/>
        <v>4.4525</v>
      </c>
      <c r="DN41">
        <v>0</v>
      </c>
      <c r="DO41">
        <v>0</v>
      </c>
      <c r="DP41">
        <v>1</v>
      </c>
      <c r="DQ41">
        <v>1</v>
      </c>
      <c r="DR41">
        <v>1</v>
      </c>
      <c r="DS41">
        <v>1</v>
      </c>
      <c r="DT41">
        <v>1</v>
      </c>
      <c r="DU41">
        <v>1003</v>
      </c>
      <c r="DV41" t="s">
        <v>60</v>
      </c>
      <c r="DW41" t="s">
        <v>60</v>
      </c>
      <c r="DX41">
        <v>100</v>
      </c>
      <c r="EE41">
        <v>6294949</v>
      </c>
      <c r="EF41">
        <v>3</v>
      </c>
      <c r="EG41" t="s">
        <v>15</v>
      </c>
      <c r="EH41">
        <v>0</v>
      </c>
      <c r="EJ41">
        <v>2</v>
      </c>
      <c r="EK41">
        <v>57</v>
      </c>
      <c r="EL41" t="s">
        <v>73</v>
      </c>
      <c r="EM41" t="s">
        <v>74</v>
      </c>
      <c r="ET41">
        <v>833.98</v>
      </c>
    </row>
    <row r="42" spans="1:150" ht="12.75">
      <c r="A42">
        <v>18</v>
      </c>
      <c r="B42">
        <v>1</v>
      </c>
      <c r="D42" t="s">
        <v>63</v>
      </c>
      <c r="E42" t="s">
        <v>79</v>
      </c>
      <c r="G42" t="s">
        <v>64</v>
      </c>
      <c r="H42" t="s">
        <v>65</v>
      </c>
      <c r="I42">
        <f>I41*J42</f>
        <v>0.018</v>
      </c>
      <c r="J42">
        <v>0.6</v>
      </c>
      <c r="O42">
        <f t="shared" si="3"/>
        <v>29.09</v>
      </c>
      <c r="P42">
        <f t="shared" si="4"/>
        <v>29.09</v>
      </c>
      <c r="Q42">
        <f t="shared" si="5"/>
        <v>0</v>
      </c>
      <c r="R42">
        <f t="shared" si="6"/>
        <v>0</v>
      </c>
      <c r="S42">
        <f t="shared" si="7"/>
        <v>0</v>
      </c>
      <c r="T42">
        <f t="shared" si="8"/>
        <v>0</v>
      </c>
      <c r="U42">
        <f t="shared" si="9"/>
        <v>0</v>
      </c>
      <c r="V42">
        <f t="shared" si="10"/>
        <v>0</v>
      </c>
      <c r="W42">
        <f t="shared" si="11"/>
        <v>0</v>
      </c>
      <c r="X42">
        <f t="shared" si="12"/>
        <v>0</v>
      </c>
      <c r="Y42">
        <f t="shared" si="13"/>
        <v>0</v>
      </c>
      <c r="AA42">
        <v>0</v>
      </c>
      <c r="AB42">
        <f t="shared" si="14"/>
        <v>1615.852</v>
      </c>
      <c r="AC42">
        <f t="shared" si="15"/>
        <v>1615.852</v>
      </c>
      <c r="AD42">
        <f t="shared" si="16"/>
        <v>0</v>
      </c>
      <c r="AE42">
        <f t="shared" si="17"/>
        <v>0</v>
      </c>
      <c r="AF42">
        <f t="shared" si="18"/>
        <v>0</v>
      </c>
      <c r="AG42">
        <f t="shared" si="19"/>
        <v>0</v>
      </c>
      <c r="AH42">
        <f t="shared" si="20"/>
        <v>0</v>
      </c>
      <c r="AI42">
        <f t="shared" si="21"/>
        <v>0</v>
      </c>
      <c r="AJ42">
        <f t="shared" si="22"/>
        <v>0</v>
      </c>
      <c r="AK42">
        <v>1154.18</v>
      </c>
      <c r="AL42" s="60">
        <f>1154.18*($AL$23)</f>
        <v>1615.852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95</v>
      </c>
      <c r="AU42">
        <v>65</v>
      </c>
      <c r="AV42">
        <v>1</v>
      </c>
      <c r="AW42">
        <v>1</v>
      </c>
      <c r="AX42">
        <v>1</v>
      </c>
      <c r="AY42">
        <v>1</v>
      </c>
      <c r="AZ42">
        <v>1</v>
      </c>
      <c r="BA42">
        <v>1</v>
      </c>
      <c r="BB42">
        <v>1</v>
      </c>
      <c r="BC42">
        <v>1</v>
      </c>
      <c r="BH42">
        <v>3</v>
      </c>
      <c r="BI42">
        <v>2</v>
      </c>
      <c r="BJ42" t="s">
        <v>66</v>
      </c>
      <c r="BM42">
        <v>57</v>
      </c>
      <c r="BN42">
        <v>0</v>
      </c>
      <c r="BO42" t="s">
        <v>63</v>
      </c>
      <c r="BP42">
        <v>1</v>
      </c>
      <c r="BQ42">
        <v>3</v>
      </c>
      <c r="BR42">
        <v>0</v>
      </c>
      <c r="BS42">
        <v>1</v>
      </c>
      <c r="BT42">
        <v>1</v>
      </c>
      <c r="BU42">
        <v>1</v>
      </c>
      <c r="BV42">
        <v>1</v>
      </c>
      <c r="BW42">
        <v>1</v>
      </c>
      <c r="BX42">
        <v>1</v>
      </c>
      <c r="CF42">
        <v>0</v>
      </c>
      <c r="CG42">
        <v>0</v>
      </c>
      <c r="CM42">
        <v>0</v>
      </c>
      <c r="CO42">
        <v>0</v>
      </c>
      <c r="CP42">
        <f t="shared" si="23"/>
        <v>29.09</v>
      </c>
      <c r="CQ42">
        <f t="shared" si="24"/>
        <v>1615.852</v>
      </c>
      <c r="CR42">
        <f t="shared" si="25"/>
        <v>0</v>
      </c>
      <c r="CS42">
        <f t="shared" si="26"/>
        <v>0</v>
      </c>
      <c r="CT42">
        <f t="shared" si="27"/>
        <v>0</v>
      </c>
      <c r="CU42">
        <f t="shared" si="28"/>
        <v>0</v>
      </c>
      <c r="CV42">
        <f t="shared" si="29"/>
        <v>0</v>
      </c>
      <c r="CW42">
        <f t="shared" si="30"/>
        <v>0</v>
      </c>
      <c r="CX42">
        <f t="shared" si="31"/>
        <v>0</v>
      </c>
      <c r="CY42">
        <f t="shared" si="32"/>
        <v>0</v>
      </c>
      <c r="CZ42">
        <f t="shared" si="33"/>
        <v>0</v>
      </c>
      <c r="DN42">
        <v>0</v>
      </c>
      <c r="DO42">
        <v>0</v>
      </c>
      <c r="DP42">
        <v>1</v>
      </c>
      <c r="DQ42">
        <v>1</v>
      </c>
      <c r="DR42">
        <v>1</v>
      </c>
      <c r="DS42">
        <v>1</v>
      </c>
      <c r="DT42">
        <v>1</v>
      </c>
      <c r="DU42">
        <v>1013</v>
      </c>
      <c r="DV42" t="s">
        <v>65</v>
      </c>
      <c r="DW42" t="s">
        <v>67</v>
      </c>
      <c r="DX42">
        <v>1</v>
      </c>
      <c r="EE42">
        <v>6294949</v>
      </c>
      <c r="EF42">
        <v>3</v>
      </c>
      <c r="EG42" t="s">
        <v>15</v>
      </c>
      <c r="EH42">
        <v>0</v>
      </c>
      <c r="EJ42">
        <v>2</v>
      </c>
      <c r="EK42">
        <v>57</v>
      </c>
      <c r="EL42" t="s">
        <v>73</v>
      </c>
      <c r="EM42" t="s">
        <v>74</v>
      </c>
      <c r="ET42">
        <v>768.86</v>
      </c>
    </row>
    <row r="43" spans="1:150" ht="12.75">
      <c r="A43">
        <v>18</v>
      </c>
      <c r="B43">
        <v>1</v>
      </c>
      <c r="D43" t="s">
        <v>81</v>
      </c>
      <c r="E43" t="s">
        <v>80</v>
      </c>
      <c r="G43" t="s">
        <v>82</v>
      </c>
      <c r="H43" t="s">
        <v>65</v>
      </c>
      <c r="I43">
        <f>I41*J43</f>
        <v>0.009</v>
      </c>
      <c r="J43">
        <v>0.3</v>
      </c>
      <c r="O43">
        <f t="shared" si="3"/>
        <v>50.99</v>
      </c>
      <c r="P43">
        <f t="shared" si="4"/>
        <v>50.99</v>
      </c>
      <c r="Q43">
        <f t="shared" si="5"/>
        <v>0</v>
      </c>
      <c r="R43">
        <f t="shared" si="6"/>
        <v>0</v>
      </c>
      <c r="S43">
        <f t="shared" si="7"/>
        <v>0</v>
      </c>
      <c r="T43">
        <f t="shared" si="8"/>
        <v>0</v>
      </c>
      <c r="U43">
        <f t="shared" si="9"/>
        <v>0</v>
      </c>
      <c r="V43">
        <f t="shared" si="10"/>
        <v>0</v>
      </c>
      <c r="W43">
        <f t="shared" si="11"/>
        <v>0</v>
      </c>
      <c r="X43">
        <f t="shared" si="12"/>
        <v>0</v>
      </c>
      <c r="Y43">
        <f t="shared" si="13"/>
        <v>0</v>
      </c>
      <c r="AA43">
        <v>0</v>
      </c>
      <c r="AB43">
        <f t="shared" si="14"/>
        <v>5665.94</v>
      </c>
      <c r="AC43">
        <f t="shared" si="15"/>
        <v>5665.94</v>
      </c>
      <c r="AD43">
        <f t="shared" si="16"/>
        <v>0</v>
      </c>
      <c r="AE43">
        <f t="shared" si="17"/>
        <v>0</v>
      </c>
      <c r="AF43">
        <f t="shared" si="18"/>
        <v>0</v>
      </c>
      <c r="AG43">
        <f t="shared" si="19"/>
        <v>0</v>
      </c>
      <c r="AH43">
        <f t="shared" si="20"/>
        <v>0</v>
      </c>
      <c r="AI43">
        <f t="shared" si="21"/>
        <v>0</v>
      </c>
      <c r="AJ43">
        <f t="shared" si="22"/>
        <v>0</v>
      </c>
      <c r="AK43">
        <v>4047.1</v>
      </c>
      <c r="AL43" s="60">
        <f>4047.1*($AL$23)</f>
        <v>5665.94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95</v>
      </c>
      <c r="AU43">
        <v>65</v>
      </c>
      <c r="AV43">
        <v>1</v>
      </c>
      <c r="AW43">
        <v>1</v>
      </c>
      <c r="AX43">
        <v>1</v>
      </c>
      <c r="AY43">
        <v>1</v>
      </c>
      <c r="AZ43">
        <v>1</v>
      </c>
      <c r="BA43">
        <v>1</v>
      </c>
      <c r="BB43">
        <v>1</v>
      </c>
      <c r="BC43">
        <v>1</v>
      </c>
      <c r="BH43">
        <v>3</v>
      </c>
      <c r="BI43">
        <v>2</v>
      </c>
      <c r="BJ43" t="s">
        <v>83</v>
      </c>
      <c r="BM43">
        <v>57</v>
      </c>
      <c r="BN43">
        <v>0</v>
      </c>
      <c r="BO43" t="s">
        <v>81</v>
      </c>
      <c r="BP43">
        <v>1</v>
      </c>
      <c r="BQ43">
        <v>3</v>
      </c>
      <c r="BR43">
        <v>0</v>
      </c>
      <c r="BS43">
        <v>1</v>
      </c>
      <c r="BT43">
        <v>1</v>
      </c>
      <c r="BU43">
        <v>1</v>
      </c>
      <c r="BV43">
        <v>1</v>
      </c>
      <c r="BW43">
        <v>1</v>
      </c>
      <c r="BX43">
        <v>1</v>
      </c>
      <c r="CF43">
        <v>0</v>
      </c>
      <c r="CG43">
        <v>0</v>
      </c>
      <c r="CM43">
        <v>0</v>
      </c>
      <c r="CO43">
        <v>0</v>
      </c>
      <c r="CP43">
        <f t="shared" si="23"/>
        <v>50.99</v>
      </c>
      <c r="CQ43">
        <f t="shared" si="24"/>
        <v>5665.94</v>
      </c>
      <c r="CR43">
        <f t="shared" si="25"/>
        <v>0</v>
      </c>
      <c r="CS43">
        <f t="shared" si="26"/>
        <v>0</v>
      </c>
      <c r="CT43">
        <f t="shared" si="27"/>
        <v>0</v>
      </c>
      <c r="CU43">
        <f t="shared" si="28"/>
        <v>0</v>
      </c>
      <c r="CV43">
        <f t="shared" si="29"/>
        <v>0</v>
      </c>
      <c r="CW43">
        <f t="shared" si="30"/>
        <v>0</v>
      </c>
      <c r="CX43">
        <f t="shared" si="31"/>
        <v>0</v>
      </c>
      <c r="CY43">
        <f t="shared" si="32"/>
        <v>0</v>
      </c>
      <c r="CZ43">
        <f t="shared" si="33"/>
        <v>0</v>
      </c>
      <c r="DN43">
        <v>0</v>
      </c>
      <c r="DO43">
        <v>0</v>
      </c>
      <c r="DP43">
        <v>1</v>
      </c>
      <c r="DQ43">
        <v>1</v>
      </c>
      <c r="DR43">
        <v>1</v>
      </c>
      <c r="DS43">
        <v>1</v>
      </c>
      <c r="DT43">
        <v>1</v>
      </c>
      <c r="DU43">
        <v>1013</v>
      </c>
      <c r="DV43" t="s">
        <v>65</v>
      </c>
      <c r="DW43" t="s">
        <v>67</v>
      </c>
      <c r="DX43">
        <v>1</v>
      </c>
      <c r="EE43">
        <v>6294949</v>
      </c>
      <c r="EF43">
        <v>3</v>
      </c>
      <c r="EG43" t="s">
        <v>15</v>
      </c>
      <c r="EH43">
        <v>0</v>
      </c>
      <c r="EJ43">
        <v>2</v>
      </c>
      <c r="EK43">
        <v>57</v>
      </c>
      <c r="EL43" t="s">
        <v>73</v>
      </c>
      <c r="EM43" t="s">
        <v>74</v>
      </c>
      <c r="ET43">
        <v>1347.54</v>
      </c>
    </row>
    <row r="44" spans="1:150" ht="12.75">
      <c r="A44">
        <v>18</v>
      </c>
      <c r="B44">
        <v>1</v>
      </c>
      <c r="D44" t="s">
        <v>85</v>
      </c>
      <c r="E44" t="s">
        <v>84</v>
      </c>
      <c r="G44" t="s">
        <v>86</v>
      </c>
      <c r="H44" t="s">
        <v>65</v>
      </c>
      <c r="I44">
        <f>I41*J44</f>
        <v>0.003</v>
      </c>
      <c r="J44">
        <v>0.1</v>
      </c>
      <c r="O44">
        <f t="shared" si="3"/>
        <v>21.32</v>
      </c>
      <c r="P44">
        <f t="shared" si="4"/>
        <v>21.32</v>
      </c>
      <c r="Q44">
        <f t="shared" si="5"/>
        <v>0</v>
      </c>
      <c r="R44">
        <f t="shared" si="6"/>
        <v>0</v>
      </c>
      <c r="S44">
        <f t="shared" si="7"/>
        <v>0</v>
      </c>
      <c r="T44">
        <f t="shared" si="8"/>
        <v>0</v>
      </c>
      <c r="U44">
        <f t="shared" si="9"/>
        <v>0</v>
      </c>
      <c r="V44">
        <f t="shared" si="10"/>
        <v>0</v>
      </c>
      <c r="W44">
        <f t="shared" si="11"/>
        <v>0</v>
      </c>
      <c r="X44">
        <f t="shared" si="12"/>
        <v>0</v>
      </c>
      <c r="Y44">
        <f t="shared" si="13"/>
        <v>0</v>
      </c>
      <c r="AA44">
        <v>0</v>
      </c>
      <c r="AB44">
        <f t="shared" si="14"/>
        <v>7107.6179999999995</v>
      </c>
      <c r="AC44">
        <f t="shared" si="15"/>
        <v>7107.6179999999995</v>
      </c>
      <c r="AD44">
        <f t="shared" si="16"/>
        <v>0</v>
      </c>
      <c r="AE44">
        <f t="shared" si="17"/>
        <v>0</v>
      </c>
      <c r="AF44">
        <f t="shared" si="18"/>
        <v>0</v>
      </c>
      <c r="AG44">
        <f t="shared" si="19"/>
        <v>0</v>
      </c>
      <c r="AH44">
        <f t="shared" si="20"/>
        <v>0</v>
      </c>
      <c r="AI44">
        <f t="shared" si="21"/>
        <v>0</v>
      </c>
      <c r="AJ44">
        <f t="shared" si="22"/>
        <v>0</v>
      </c>
      <c r="AK44">
        <v>5076.87</v>
      </c>
      <c r="AL44" s="60">
        <f>5076.87*($AL$23)</f>
        <v>7107.6179999999995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95</v>
      </c>
      <c r="AU44">
        <v>65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H44">
        <v>3</v>
      </c>
      <c r="BI44">
        <v>2</v>
      </c>
      <c r="BJ44" t="s">
        <v>87</v>
      </c>
      <c r="BM44">
        <v>57</v>
      </c>
      <c r="BN44">
        <v>0</v>
      </c>
      <c r="BO44" t="s">
        <v>85</v>
      </c>
      <c r="BP44">
        <v>1</v>
      </c>
      <c r="BQ44">
        <v>3</v>
      </c>
      <c r="BR44">
        <v>0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CF44">
        <v>0</v>
      </c>
      <c r="CG44">
        <v>0</v>
      </c>
      <c r="CM44">
        <v>0</v>
      </c>
      <c r="CO44">
        <v>0</v>
      </c>
      <c r="CP44">
        <f t="shared" si="23"/>
        <v>21.32</v>
      </c>
      <c r="CQ44">
        <f t="shared" si="24"/>
        <v>7107.6179999999995</v>
      </c>
      <c r="CR44">
        <f t="shared" si="25"/>
        <v>0</v>
      </c>
      <c r="CS44">
        <f t="shared" si="26"/>
        <v>0</v>
      </c>
      <c r="CT44">
        <f t="shared" si="27"/>
        <v>0</v>
      </c>
      <c r="CU44">
        <f t="shared" si="28"/>
        <v>0</v>
      </c>
      <c r="CV44">
        <f t="shared" si="29"/>
        <v>0</v>
      </c>
      <c r="CW44">
        <f t="shared" si="30"/>
        <v>0</v>
      </c>
      <c r="CX44">
        <f t="shared" si="31"/>
        <v>0</v>
      </c>
      <c r="CY44">
        <f t="shared" si="32"/>
        <v>0</v>
      </c>
      <c r="CZ44">
        <f t="shared" si="33"/>
        <v>0</v>
      </c>
      <c r="DN44">
        <v>0</v>
      </c>
      <c r="DO44">
        <v>0</v>
      </c>
      <c r="DP44">
        <v>1</v>
      </c>
      <c r="DQ44">
        <v>1</v>
      </c>
      <c r="DR44">
        <v>1</v>
      </c>
      <c r="DS44">
        <v>1</v>
      </c>
      <c r="DT44">
        <v>1</v>
      </c>
      <c r="DU44">
        <v>1013</v>
      </c>
      <c r="DV44" t="s">
        <v>65</v>
      </c>
      <c r="DW44" t="s">
        <v>67</v>
      </c>
      <c r="DX44">
        <v>1</v>
      </c>
      <c r="EE44">
        <v>6294949</v>
      </c>
      <c r="EF44">
        <v>3</v>
      </c>
      <c r="EG44" t="s">
        <v>15</v>
      </c>
      <c r="EH44">
        <v>0</v>
      </c>
      <c r="EJ44">
        <v>2</v>
      </c>
      <c r="EK44">
        <v>57</v>
      </c>
      <c r="EL44" t="s">
        <v>73</v>
      </c>
      <c r="EM44" t="s">
        <v>74</v>
      </c>
      <c r="ET44">
        <v>563.51</v>
      </c>
    </row>
    <row r="45" spans="1:150" ht="12.75">
      <c r="A45">
        <v>18</v>
      </c>
      <c r="B45">
        <v>1</v>
      </c>
      <c r="D45" t="s">
        <v>89</v>
      </c>
      <c r="E45" t="s">
        <v>88</v>
      </c>
      <c r="G45" t="s">
        <v>90</v>
      </c>
      <c r="H45" t="s">
        <v>65</v>
      </c>
      <c r="I45">
        <f>I41*J45</f>
        <v>0.005</v>
      </c>
      <c r="J45">
        <v>0.16666666666666669</v>
      </c>
      <c r="O45">
        <f t="shared" si="3"/>
        <v>53.54</v>
      </c>
      <c r="P45">
        <f t="shared" si="4"/>
        <v>53.54</v>
      </c>
      <c r="Q45">
        <f t="shared" si="5"/>
        <v>0</v>
      </c>
      <c r="R45">
        <f t="shared" si="6"/>
        <v>0</v>
      </c>
      <c r="S45">
        <f t="shared" si="7"/>
        <v>0</v>
      </c>
      <c r="T45">
        <f t="shared" si="8"/>
        <v>0</v>
      </c>
      <c r="U45">
        <f t="shared" si="9"/>
        <v>0</v>
      </c>
      <c r="V45">
        <f t="shared" si="10"/>
        <v>0</v>
      </c>
      <c r="W45">
        <f t="shared" si="11"/>
        <v>0</v>
      </c>
      <c r="X45">
        <f t="shared" si="12"/>
        <v>0</v>
      </c>
      <c r="Y45">
        <f t="shared" si="13"/>
        <v>0</v>
      </c>
      <c r="AA45">
        <v>0</v>
      </c>
      <c r="AB45">
        <f t="shared" si="14"/>
        <v>10708.208</v>
      </c>
      <c r="AC45">
        <f t="shared" si="15"/>
        <v>10708.208</v>
      </c>
      <c r="AD45">
        <f t="shared" si="16"/>
        <v>0</v>
      </c>
      <c r="AE45">
        <f t="shared" si="17"/>
        <v>0</v>
      </c>
      <c r="AF45">
        <f t="shared" si="18"/>
        <v>0</v>
      </c>
      <c r="AG45">
        <f t="shared" si="19"/>
        <v>0</v>
      </c>
      <c r="AH45">
        <f t="shared" si="20"/>
        <v>0</v>
      </c>
      <c r="AI45">
        <f t="shared" si="21"/>
        <v>0</v>
      </c>
      <c r="AJ45">
        <f t="shared" si="22"/>
        <v>0</v>
      </c>
      <c r="AK45">
        <v>7648.72</v>
      </c>
      <c r="AL45" s="60">
        <f>7648.72*($AL$23)</f>
        <v>10708.208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95</v>
      </c>
      <c r="AU45">
        <v>65</v>
      </c>
      <c r="AV45">
        <v>1</v>
      </c>
      <c r="AW45">
        <v>1</v>
      </c>
      <c r="AX45">
        <v>1</v>
      </c>
      <c r="AY45">
        <v>1</v>
      </c>
      <c r="AZ45">
        <v>1</v>
      </c>
      <c r="BA45">
        <v>1</v>
      </c>
      <c r="BB45">
        <v>1</v>
      </c>
      <c r="BC45">
        <v>1</v>
      </c>
      <c r="BH45">
        <v>3</v>
      </c>
      <c r="BI45">
        <v>2</v>
      </c>
      <c r="BJ45" t="s">
        <v>91</v>
      </c>
      <c r="BM45">
        <v>57</v>
      </c>
      <c r="BN45">
        <v>0</v>
      </c>
      <c r="BO45" t="s">
        <v>89</v>
      </c>
      <c r="BP45">
        <v>1</v>
      </c>
      <c r="BQ45">
        <v>3</v>
      </c>
      <c r="BR45">
        <v>0</v>
      </c>
      <c r="BS45">
        <v>1</v>
      </c>
      <c r="BT45">
        <v>1</v>
      </c>
      <c r="BU45">
        <v>1</v>
      </c>
      <c r="BV45">
        <v>1</v>
      </c>
      <c r="BW45">
        <v>1</v>
      </c>
      <c r="BX45">
        <v>1</v>
      </c>
      <c r="CF45">
        <v>0</v>
      </c>
      <c r="CG45">
        <v>0</v>
      </c>
      <c r="CM45">
        <v>0</v>
      </c>
      <c r="CO45">
        <v>0</v>
      </c>
      <c r="CP45">
        <f t="shared" si="23"/>
        <v>53.54</v>
      </c>
      <c r="CQ45">
        <f t="shared" si="24"/>
        <v>10708.208</v>
      </c>
      <c r="CR45">
        <f t="shared" si="25"/>
        <v>0</v>
      </c>
      <c r="CS45">
        <f t="shared" si="26"/>
        <v>0</v>
      </c>
      <c r="CT45">
        <f t="shared" si="27"/>
        <v>0</v>
      </c>
      <c r="CU45">
        <f t="shared" si="28"/>
        <v>0</v>
      </c>
      <c r="CV45">
        <f t="shared" si="29"/>
        <v>0</v>
      </c>
      <c r="CW45">
        <f t="shared" si="30"/>
        <v>0</v>
      </c>
      <c r="CX45">
        <f t="shared" si="31"/>
        <v>0</v>
      </c>
      <c r="CY45">
        <f t="shared" si="32"/>
        <v>0</v>
      </c>
      <c r="CZ45">
        <f t="shared" si="33"/>
        <v>0</v>
      </c>
      <c r="DN45">
        <v>0</v>
      </c>
      <c r="DO45">
        <v>0</v>
      </c>
      <c r="DP45">
        <v>1</v>
      </c>
      <c r="DQ45">
        <v>1</v>
      </c>
      <c r="DR45">
        <v>1</v>
      </c>
      <c r="DS45">
        <v>1</v>
      </c>
      <c r="DT45">
        <v>1</v>
      </c>
      <c r="DU45">
        <v>1013</v>
      </c>
      <c r="DV45" t="s">
        <v>65</v>
      </c>
      <c r="DW45" t="s">
        <v>67</v>
      </c>
      <c r="DX45">
        <v>1</v>
      </c>
      <c r="EE45">
        <v>6294949</v>
      </c>
      <c r="EF45">
        <v>3</v>
      </c>
      <c r="EG45" t="s">
        <v>15</v>
      </c>
      <c r="EH45">
        <v>0</v>
      </c>
      <c r="EJ45">
        <v>2</v>
      </c>
      <c r="EK45">
        <v>57</v>
      </c>
      <c r="EL45" t="s">
        <v>73</v>
      </c>
      <c r="EM45" t="s">
        <v>74</v>
      </c>
      <c r="ET45">
        <v>1414.88</v>
      </c>
    </row>
    <row r="46" spans="1:150" ht="12.75">
      <c r="A46">
        <v>18</v>
      </c>
      <c r="B46">
        <v>1</v>
      </c>
      <c r="D46" t="s">
        <v>93</v>
      </c>
      <c r="E46" t="s">
        <v>92</v>
      </c>
      <c r="G46" t="s">
        <v>94</v>
      </c>
      <c r="H46" t="s">
        <v>65</v>
      </c>
      <c r="I46">
        <f>I41*J46</f>
        <v>0.018</v>
      </c>
      <c r="J46">
        <v>0.6</v>
      </c>
      <c r="O46">
        <f t="shared" si="3"/>
        <v>22.39</v>
      </c>
      <c r="P46">
        <f t="shared" si="4"/>
        <v>22.39</v>
      </c>
      <c r="Q46">
        <f t="shared" si="5"/>
        <v>0</v>
      </c>
      <c r="R46">
        <f t="shared" si="6"/>
        <v>0</v>
      </c>
      <c r="S46">
        <f t="shared" si="7"/>
        <v>0</v>
      </c>
      <c r="T46">
        <f t="shared" si="8"/>
        <v>0</v>
      </c>
      <c r="U46">
        <f t="shared" si="9"/>
        <v>0</v>
      </c>
      <c r="V46">
        <f t="shared" si="10"/>
        <v>0</v>
      </c>
      <c r="W46">
        <f t="shared" si="11"/>
        <v>0</v>
      </c>
      <c r="X46">
        <f t="shared" si="12"/>
        <v>0</v>
      </c>
      <c r="Y46">
        <f t="shared" si="13"/>
        <v>0</v>
      </c>
      <c r="AA46">
        <v>0</v>
      </c>
      <c r="AB46">
        <f t="shared" si="14"/>
        <v>1243.886</v>
      </c>
      <c r="AC46">
        <f t="shared" si="15"/>
        <v>1243.886</v>
      </c>
      <c r="AD46">
        <f t="shared" si="16"/>
        <v>0</v>
      </c>
      <c r="AE46">
        <f t="shared" si="17"/>
        <v>0</v>
      </c>
      <c r="AF46">
        <f t="shared" si="18"/>
        <v>0</v>
      </c>
      <c r="AG46">
        <f t="shared" si="19"/>
        <v>0</v>
      </c>
      <c r="AH46">
        <f t="shared" si="20"/>
        <v>0</v>
      </c>
      <c r="AI46">
        <f t="shared" si="21"/>
        <v>0</v>
      </c>
      <c r="AJ46">
        <f t="shared" si="22"/>
        <v>0</v>
      </c>
      <c r="AK46">
        <v>888.49</v>
      </c>
      <c r="AL46" s="60">
        <f>888.49*($AL$23)</f>
        <v>1243.886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95</v>
      </c>
      <c r="AU46">
        <v>65</v>
      </c>
      <c r="AV46">
        <v>1</v>
      </c>
      <c r="AW46">
        <v>1</v>
      </c>
      <c r="AX46">
        <v>1</v>
      </c>
      <c r="AY46">
        <v>1</v>
      </c>
      <c r="AZ46">
        <v>1</v>
      </c>
      <c r="BA46">
        <v>1</v>
      </c>
      <c r="BB46">
        <v>1</v>
      </c>
      <c r="BC46">
        <v>1</v>
      </c>
      <c r="BH46">
        <v>3</v>
      </c>
      <c r="BI46">
        <v>2</v>
      </c>
      <c r="BJ46" t="s">
        <v>95</v>
      </c>
      <c r="BM46">
        <v>57</v>
      </c>
      <c r="BN46">
        <v>0</v>
      </c>
      <c r="BO46" t="s">
        <v>93</v>
      </c>
      <c r="BP46">
        <v>1</v>
      </c>
      <c r="BQ46">
        <v>3</v>
      </c>
      <c r="BR46">
        <v>0</v>
      </c>
      <c r="BS46">
        <v>1</v>
      </c>
      <c r="BT46">
        <v>1</v>
      </c>
      <c r="BU46">
        <v>1</v>
      </c>
      <c r="BV46">
        <v>1</v>
      </c>
      <c r="BW46">
        <v>1</v>
      </c>
      <c r="BX46">
        <v>1</v>
      </c>
      <c r="CF46">
        <v>0</v>
      </c>
      <c r="CG46">
        <v>0</v>
      </c>
      <c r="CM46">
        <v>0</v>
      </c>
      <c r="CO46">
        <v>0</v>
      </c>
      <c r="CP46">
        <f t="shared" si="23"/>
        <v>22.39</v>
      </c>
      <c r="CQ46">
        <f t="shared" si="24"/>
        <v>1243.886</v>
      </c>
      <c r="CR46">
        <f t="shared" si="25"/>
        <v>0</v>
      </c>
      <c r="CS46">
        <f t="shared" si="26"/>
        <v>0</v>
      </c>
      <c r="CT46">
        <f t="shared" si="27"/>
        <v>0</v>
      </c>
      <c r="CU46">
        <f t="shared" si="28"/>
        <v>0</v>
      </c>
      <c r="CV46">
        <f t="shared" si="29"/>
        <v>0</v>
      </c>
      <c r="CW46">
        <f t="shared" si="30"/>
        <v>0</v>
      </c>
      <c r="CX46">
        <f t="shared" si="31"/>
        <v>0</v>
      </c>
      <c r="CY46">
        <f t="shared" si="32"/>
        <v>0</v>
      </c>
      <c r="CZ46">
        <f t="shared" si="33"/>
        <v>0</v>
      </c>
      <c r="DN46">
        <v>0</v>
      </c>
      <c r="DO46">
        <v>0</v>
      </c>
      <c r="DP46">
        <v>1</v>
      </c>
      <c r="DQ46">
        <v>1</v>
      </c>
      <c r="DR46">
        <v>1</v>
      </c>
      <c r="DS46">
        <v>1</v>
      </c>
      <c r="DT46">
        <v>1</v>
      </c>
      <c r="DU46">
        <v>1013</v>
      </c>
      <c r="DV46" t="s">
        <v>65</v>
      </c>
      <c r="DW46" t="s">
        <v>67</v>
      </c>
      <c r="DX46">
        <v>1</v>
      </c>
      <c r="EE46">
        <v>6294949</v>
      </c>
      <c r="EF46">
        <v>3</v>
      </c>
      <c r="EG46" t="s">
        <v>15</v>
      </c>
      <c r="EH46">
        <v>0</v>
      </c>
      <c r="EJ46">
        <v>2</v>
      </c>
      <c r="EK46">
        <v>57</v>
      </c>
      <c r="EL46" t="s">
        <v>73</v>
      </c>
      <c r="EM46" t="s">
        <v>74</v>
      </c>
      <c r="ET46">
        <v>591.63</v>
      </c>
    </row>
    <row r="47" spans="1:150" ht="12.75">
      <c r="A47">
        <v>17</v>
      </c>
      <c r="B47">
        <v>1</v>
      </c>
      <c r="C47">
        <f>ROW(SmtRes!A115)</f>
        <v>115</v>
      </c>
      <c r="D47" t="s">
        <v>97</v>
      </c>
      <c r="E47" t="s">
        <v>96</v>
      </c>
      <c r="F47" t="s">
        <v>97</v>
      </c>
      <c r="G47" t="s">
        <v>98</v>
      </c>
      <c r="H47" t="s">
        <v>60</v>
      </c>
      <c r="I47">
        <v>0.36</v>
      </c>
      <c r="J47">
        <v>0</v>
      </c>
      <c r="O47">
        <f t="shared" si="3"/>
        <v>213.76</v>
      </c>
      <c r="P47">
        <f t="shared" si="4"/>
        <v>52.76</v>
      </c>
      <c r="Q47">
        <f t="shared" si="5"/>
        <v>31.53</v>
      </c>
      <c r="R47">
        <f t="shared" si="6"/>
        <v>2.12</v>
      </c>
      <c r="S47">
        <f t="shared" si="7"/>
        <v>129.47</v>
      </c>
      <c r="T47">
        <f t="shared" si="8"/>
        <v>0</v>
      </c>
      <c r="U47">
        <f t="shared" si="9"/>
        <v>13.79</v>
      </c>
      <c r="V47">
        <f t="shared" si="10"/>
        <v>0.18</v>
      </c>
      <c r="W47">
        <f t="shared" si="11"/>
        <v>0</v>
      </c>
      <c r="X47">
        <f t="shared" si="12"/>
        <v>125.01</v>
      </c>
      <c r="Y47">
        <f t="shared" si="13"/>
        <v>85.53</v>
      </c>
      <c r="AA47">
        <v>0</v>
      </c>
      <c r="AB47">
        <f t="shared" si="14"/>
        <v>593.762</v>
      </c>
      <c r="AC47">
        <f t="shared" si="15"/>
        <v>146.552</v>
      </c>
      <c r="AD47">
        <f t="shared" si="16"/>
        <v>87.57</v>
      </c>
      <c r="AE47">
        <f t="shared" si="17"/>
        <v>5.9</v>
      </c>
      <c r="AF47">
        <f t="shared" si="18"/>
        <v>359.64</v>
      </c>
      <c r="AG47">
        <f t="shared" si="19"/>
        <v>0</v>
      </c>
      <c r="AH47">
        <f t="shared" si="20"/>
        <v>38.3</v>
      </c>
      <c r="AI47">
        <f t="shared" si="21"/>
        <v>0.5</v>
      </c>
      <c r="AJ47">
        <f t="shared" si="22"/>
        <v>0</v>
      </c>
      <c r="AK47">
        <v>551.89</v>
      </c>
      <c r="AL47" s="60">
        <f>104.68*($AL$23)</f>
        <v>146.552</v>
      </c>
      <c r="AM47">
        <v>87.57</v>
      </c>
      <c r="AN47">
        <v>5.9</v>
      </c>
      <c r="AO47">
        <v>359.64</v>
      </c>
      <c r="AP47">
        <v>0</v>
      </c>
      <c r="AQ47">
        <v>38.3</v>
      </c>
      <c r="AR47">
        <v>0.5</v>
      </c>
      <c r="AS47">
        <v>0</v>
      </c>
      <c r="AT47">
        <v>95</v>
      </c>
      <c r="AU47">
        <v>65</v>
      </c>
      <c r="AV47">
        <v>1</v>
      </c>
      <c r="AW47">
        <v>1</v>
      </c>
      <c r="AX47">
        <v>1</v>
      </c>
      <c r="AY47">
        <v>1</v>
      </c>
      <c r="AZ47">
        <v>1</v>
      </c>
      <c r="BA47">
        <v>1</v>
      </c>
      <c r="BB47">
        <v>1</v>
      </c>
      <c r="BC47">
        <v>1</v>
      </c>
      <c r="BH47">
        <v>0</v>
      </c>
      <c r="BI47">
        <v>2</v>
      </c>
      <c r="BJ47" t="s">
        <v>99</v>
      </c>
      <c r="BM47">
        <v>57</v>
      </c>
      <c r="BN47">
        <v>0</v>
      </c>
      <c r="BO47" t="s">
        <v>97</v>
      </c>
      <c r="BP47">
        <v>1</v>
      </c>
      <c r="BQ47">
        <v>3</v>
      </c>
      <c r="BR47">
        <v>0</v>
      </c>
      <c r="BS47">
        <v>1</v>
      </c>
      <c r="BT47">
        <v>1</v>
      </c>
      <c r="BU47">
        <v>1</v>
      </c>
      <c r="BV47">
        <v>1</v>
      </c>
      <c r="BW47">
        <v>1</v>
      </c>
      <c r="BX47">
        <v>1</v>
      </c>
      <c r="CF47">
        <v>0</v>
      </c>
      <c r="CG47">
        <v>0</v>
      </c>
      <c r="CM47">
        <v>0</v>
      </c>
      <c r="CO47">
        <v>0</v>
      </c>
      <c r="CP47">
        <f t="shared" si="23"/>
        <v>213.76</v>
      </c>
      <c r="CQ47">
        <f t="shared" si="24"/>
        <v>146.552</v>
      </c>
      <c r="CR47">
        <f t="shared" si="25"/>
        <v>87.57</v>
      </c>
      <c r="CS47">
        <f t="shared" si="26"/>
        <v>5.9</v>
      </c>
      <c r="CT47">
        <f t="shared" si="27"/>
        <v>359.64</v>
      </c>
      <c r="CU47">
        <f t="shared" si="28"/>
        <v>0</v>
      </c>
      <c r="CV47">
        <f t="shared" si="29"/>
        <v>38.3</v>
      </c>
      <c r="CW47">
        <f t="shared" si="30"/>
        <v>0.5</v>
      </c>
      <c r="CX47">
        <f t="shared" si="31"/>
        <v>0</v>
      </c>
      <c r="CY47">
        <f t="shared" si="32"/>
        <v>125.01050000000001</v>
      </c>
      <c r="CZ47">
        <f t="shared" si="33"/>
        <v>85.5335</v>
      </c>
      <c r="DN47">
        <v>0</v>
      </c>
      <c r="DO47">
        <v>0</v>
      </c>
      <c r="DP47">
        <v>1</v>
      </c>
      <c r="DQ47">
        <v>1</v>
      </c>
      <c r="DR47">
        <v>1</v>
      </c>
      <c r="DS47">
        <v>1</v>
      </c>
      <c r="DT47">
        <v>1</v>
      </c>
      <c r="DU47">
        <v>1003</v>
      </c>
      <c r="DV47" t="s">
        <v>60</v>
      </c>
      <c r="DW47" t="s">
        <v>60</v>
      </c>
      <c r="DX47">
        <v>100</v>
      </c>
      <c r="EE47">
        <v>6294949</v>
      </c>
      <c r="EF47">
        <v>3</v>
      </c>
      <c r="EG47" t="s">
        <v>15</v>
      </c>
      <c r="EH47">
        <v>0</v>
      </c>
      <c r="EJ47">
        <v>2</v>
      </c>
      <c r="EK47">
        <v>57</v>
      </c>
      <c r="EL47" t="s">
        <v>73</v>
      </c>
      <c r="EM47" t="s">
        <v>74</v>
      </c>
      <c r="ET47">
        <v>7351.16</v>
      </c>
    </row>
    <row r="48" spans="1:150" ht="12.75">
      <c r="A48">
        <v>17</v>
      </c>
      <c r="B48">
        <v>1</v>
      </c>
      <c r="C48">
        <f>ROW(SmtRes!A135)</f>
        <v>135</v>
      </c>
      <c r="D48" t="s">
        <v>101</v>
      </c>
      <c r="E48" t="s">
        <v>100</v>
      </c>
      <c r="F48" t="s">
        <v>101</v>
      </c>
      <c r="G48" t="s">
        <v>102</v>
      </c>
      <c r="H48" t="s">
        <v>65</v>
      </c>
      <c r="I48">
        <v>0.009</v>
      </c>
      <c r="J48">
        <v>0</v>
      </c>
      <c r="O48">
        <f t="shared" si="3"/>
        <v>95.1</v>
      </c>
      <c r="P48">
        <f t="shared" si="4"/>
        <v>8.14</v>
      </c>
      <c r="Q48">
        <f t="shared" si="5"/>
        <v>53.4</v>
      </c>
      <c r="R48">
        <f t="shared" si="6"/>
        <v>13.68</v>
      </c>
      <c r="S48">
        <f t="shared" si="7"/>
        <v>33.56</v>
      </c>
      <c r="T48">
        <f t="shared" si="8"/>
        <v>0</v>
      </c>
      <c r="U48">
        <f t="shared" si="9"/>
        <v>3.49</v>
      </c>
      <c r="V48">
        <f t="shared" si="10"/>
        <v>1.16</v>
      </c>
      <c r="W48">
        <f t="shared" si="11"/>
        <v>0</v>
      </c>
      <c r="X48">
        <f t="shared" si="12"/>
        <v>37.79</v>
      </c>
      <c r="Y48">
        <f t="shared" si="13"/>
        <v>28.34</v>
      </c>
      <c r="AA48">
        <v>0</v>
      </c>
      <c r="AB48">
        <f t="shared" si="14"/>
        <v>10566.284</v>
      </c>
      <c r="AC48">
        <f t="shared" si="15"/>
        <v>904.204</v>
      </c>
      <c r="AD48">
        <f t="shared" si="16"/>
        <v>5933.4</v>
      </c>
      <c r="AE48">
        <f t="shared" si="17"/>
        <v>1520.44</v>
      </c>
      <c r="AF48">
        <f t="shared" si="18"/>
        <v>3728.68</v>
      </c>
      <c r="AG48">
        <f t="shared" si="19"/>
        <v>0</v>
      </c>
      <c r="AH48">
        <f t="shared" si="20"/>
        <v>388</v>
      </c>
      <c r="AI48">
        <f t="shared" si="21"/>
        <v>128.74</v>
      </c>
      <c r="AJ48">
        <f t="shared" si="22"/>
        <v>0</v>
      </c>
      <c r="AK48">
        <v>10307.94</v>
      </c>
      <c r="AL48" s="60">
        <f>645.86*($AL$23)</f>
        <v>904.204</v>
      </c>
      <c r="AM48">
        <v>5933.4</v>
      </c>
      <c r="AN48">
        <v>1520.44</v>
      </c>
      <c r="AO48">
        <v>3728.68</v>
      </c>
      <c r="AP48">
        <v>0</v>
      </c>
      <c r="AQ48">
        <v>388</v>
      </c>
      <c r="AR48">
        <v>128.74</v>
      </c>
      <c r="AS48">
        <v>0</v>
      </c>
      <c r="AT48">
        <v>80</v>
      </c>
      <c r="AU48">
        <v>60</v>
      </c>
      <c r="AV48">
        <v>1</v>
      </c>
      <c r="AW48">
        <v>1</v>
      </c>
      <c r="AX48">
        <v>1</v>
      </c>
      <c r="AY48">
        <v>1</v>
      </c>
      <c r="AZ48">
        <v>1</v>
      </c>
      <c r="BA48">
        <v>1</v>
      </c>
      <c r="BB48">
        <v>1</v>
      </c>
      <c r="BC48">
        <v>1</v>
      </c>
      <c r="BH48">
        <v>0</v>
      </c>
      <c r="BI48">
        <v>2</v>
      </c>
      <c r="BJ48" t="s">
        <v>103</v>
      </c>
      <c r="BM48">
        <v>55</v>
      </c>
      <c r="BN48">
        <v>0</v>
      </c>
      <c r="BO48" t="s">
        <v>101</v>
      </c>
      <c r="BP48">
        <v>1</v>
      </c>
      <c r="BQ48">
        <v>3</v>
      </c>
      <c r="BR48">
        <v>0</v>
      </c>
      <c r="BS48">
        <v>1</v>
      </c>
      <c r="BT48">
        <v>1</v>
      </c>
      <c r="BU48">
        <v>1</v>
      </c>
      <c r="BV48">
        <v>1</v>
      </c>
      <c r="BW48">
        <v>1</v>
      </c>
      <c r="BX48">
        <v>1</v>
      </c>
      <c r="CF48">
        <v>0</v>
      </c>
      <c r="CG48">
        <v>0</v>
      </c>
      <c r="CM48">
        <v>0</v>
      </c>
      <c r="CO48">
        <v>0</v>
      </c>
      <c r="CP48">
        <f t="shared" si="23"/>
        <v>95.1</v>
      </c>
      <c r="CQ48">
        <f t="shared" si="24"/>
        <v>904.204</v>
      </c>
      <c r="CR48">
        <f t="shared" si="25"/>
        <v>5933.4</v>
      </c>
      <c r="CS48">
        <f t="shared" si="26"/>
        <v>1520.44</v>
      </c>
      <c r="CT48">
        <f t="shared" si="27"/>
        <v>3728.68</v>
      </c>
      <c r="CU48">
        <f t="shared" si="28"/>
        <v>0</v>
      </c>
      <c r="CV48">
        <f t="shared" si="29"/>
        <v>388</v>
      </c>
      <c r="CW48">
        <f t="shared" si="30"/>
        <v>128.74</v>
      </c>
      <c r="CX48">
        <f t="shared" si="31"/>
        <v>0</v>
      </c>
      <c r="CY48">
        <f t="shared" si="32"/>
        <v>37.792</v>
      </c>
      <c r="CZ48">
        <f t="shared" si="33"/>
        <v>28.344</v>
      </c>
      <c r="DN48">
        <v>0</v>
      </c>
      <c r="DO48">
        <v>0</v>
      </c>
      <c r="DP48">
        <v>1</v>
      </c>
      <c r="DQ48">
        <v>1</v>
      </c>
      <c r="DR48">
        <v>1</v>
      </c>
      <c r="DS48">
        <v>1</v>
      </c>
      <c r="DT48">
        <v>1</v>
      </c>
      <c r="DU48">
        <v>1013</v>
      </c>
      <c r="DV48" t="s">
        <v>65</v>
      </c>
      <c r="DW48" t="s">
        <v>67</v>
      </c>
      <c r="DX48">
        <v>1</v>
      </c>
      <c r="EE48">
        <v>6294947</v>
      </c>
      <c r="EF48">
        <v>3</v>
      </c>
      <c r="EG48" t="s">
        <v>15</v>
      </c>
      <c r="EH48">
        <v>0</v>
      </c>
      <c r="EJ48">
        <v>2</v>
      </c>
      <c r="EK48">
        <v>55</v>
      </c>
      <c r="EL48" t="s">
        <v>22</v>
      </c>
      <c r="EM48" t="s">
        <v>23</v>
      </c>
      <c r="ET48">
        <v>3432.49</v>
      </c>
    </row>
    <row r="49" spans="1:150" ht="12.75">
      <c r="A49">
        <v>18</v>
      </c>
      <c r="B49">
        <v>1</v>
      </c>
      <c r="D49" t="s">
        <v>105</v>
      </c>
      <c r="E49" t="s">
        <v>104</v>
      </c>
      <c r="G49" t="s">
        <v>106</v>
      </c>
      <c r="H49" t="s">
        <v>107</v>
      </c>
      <c r="I49">
        <f>I48*J49</f>
        <v>9</v>
      </c>
      <c r="J49">
        <v>1000</v>
      </c>
      <c r="O49">
        <f t="shared" si="3"/>
        <v>80.14</v>
      </c>
      <c r="P49">
        <f t="shared" si="4"/>
        <v>80.14</v>
      </c>
      <c r="Q49">
        <f t="shared" si="5"/>
        <v>0</v>
      </c>
      <c r="R49">
        <f t="shared" si="6"/>
        <v>0</v>
      </c>
      <c r="S49">
        <f t="shared" si="7"/>
        <v>0</v>
      </c>
      <c r="T49">
        <f t="shared" si="8"/>
        <v>0</v>
      </c>
      <c r="U49">
        <f t="shared" si="9"/>
        <v>0</v>
      </c>
      <c r="V49">
        <f t="shared" si="10"/>
        <v>0</v>
      </c>
      <c r="W49">
        <f t="shared" si="11"/>
        <v>0</v>
      </c>
      <c r="X49">
        <f t="shared" si="12"/>
        <v>0</v>
      </c>
      <c r="Y49">
        <f t="shared" si="13"/>
        <v>0</v>
      </c>
      <c r="AA49">
        <v>0</v>
      </c>
      <c r="AB49">
        <f t="shared" si="14"/>
        <v>8.904</v>
      </c>
      <c r="AC49">
        <f t="shared" si="15"/>
        <v>8.904</v>
      </c>
      <c r="AD49">
        <f t="shared" si="16"/>
        <v>0</v>
      </c>
      <c r="AE49">
        <f t="shared" si="17"/>
        <v>0</v>
      </c>
      <c r="AF49">
        <f t="shared" si="18"/>
        <v>0</v>
      </c>
      <c r="AG49">
        <f t="shared" si="19"/>
        <v>0</v>
      </c>
      <c r="AH49">
        <f t="shared" si="20"/>
        <v>0</v>
      </c>
      <c r="AI49">
        <f t="shared" si="21"/>
        <v>0</v>
      </c>
      <c r="AJ49">
        <f t="shared" si="22"/>
        <v>0</v>
      </c>
      <c r="AK49">
        <v>6.36</v>
      </c>
      <c r="AL49" s="60">
        <f>6.36*($AL$23)</f>
        <v>8.904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80</v>
      </c>
      <c r="AU49">
        <v>60</v>
      </c>
      <c r="AV49">
        <v>1</v>
      </c>
      <c r="AW49">
        <v>1</v>
      </c>
      <c r="AX49">
        <v>1</v>
      </c>
      <c r="AY49">
        <v>1</v>
      </c>
      <c r="AZ49">
        <v>1</v>
      </c>
      <c r="BA49">
        <v>1</v>
      </c>
      <c r="BB49">
        <v>1</v>
      </c>
      <c r="BC49">
        <v>1</v>
      </c>
      <c r="BH49">
        <v>3</v>
      </c>
      <c r="BI49">
        <v>2</v>
      </c>
      <c r="BJ49" t="s">
        <v>108</v>
      </c>
      <c r="BM49">
        <v>55</v>
      </c>
      <c r="BN49">
        <v>0</v>
      </c>
      <c r="BO49" t="s">
        <v>105</v>
      </c>
      <c r="BP49">
        <v>1</v>
      </c>
      <c r="BQ49">
        <v>3</v>
      </c>
      <c r="BR49">
        <v>0</v>
      </c>
      <c r="BS49">
        <v>1</v>
      </c>
      <c r="BT49">
        <v>1</v>
      </c>
      <c r="BU49">
        <v>1</v>
      </c>
      <c r="BV49">
        <v>1</v>
      </c>
      <c r="BW49">
        <v>1</v>
      </c>
      <c r="BX49">
        <v>1</v>
      </c>
      <c r="CF49">
        <v>0</v>
      </c>
      <c r="CG49">
        <v>0</v>
      </c>
      <c r="CM49">
        <v>0</v>
      </c>
      <c r="CO49">
        <v>0</v>
      </c>
      <c r="CP49">
        <f t="shared" si="23"/>
        <v>80.14</v>
      </c>
      <c r="CQ49">
        <f t="shared" si="24"/>
        <v>8.904</v>
      </c>
      <c r="CR49">
        <f t="shared" si="25"/>
        <v>0</v>
      </c>
      <c r="CS49">
        <f t="shared" si="26"/>
        <v>0</v>
      </c>
      <c r="CT49">
        <f t="shared" si="27"/>
        <v>0</v>
      </c>
      <c r="CU49">
        <f t="shared" si="28"/>
        <v>0</v>
      </c>
      <c r="CV49">
        <f t="shared" si="29"/>
        <v>0</v>
      </c>
      <c r="CW49">
        <f t="shared" si="30"/>
        <v>0</v>
      </c>
      <c r="CX49">
        <f t="shared" si="31"/>
        <v>0</v>
      </c>
      <c r="CY49">
        <f t="shared" si="32"/>
        <v>0</v>
      </c>
      <c r="CZ49">
        <f t="shared" si="33"/>
        <v>0</v>
      </c>
      <c r="DN49">
        <v>0</v>
      </c>
      <c r="DO49">
        <v>0</v>
      </c>
      <c r="DP49">
        <v>1</v>
      </c>
      <c r="DQ49">
        <v>1</v>
      </c>
      <c r="DR49">
        <v>1</v>
      </c>
      <c r="DS49">
        <v>1</v>
      </c>
      <c r="DT49">
        <v>1</v>
      </c>
      <c r="DU49">
        <v>1003</v>
      </c>
      <c r="DV49" t="s">
        <v>107</v>
      </c>
      <c r="DW49" t="s">
        <v>107</v>
      </c>
      <c r="DX49">
        <v>1</v>
      </c>
      <c r="EE49">
        <v>6294947</v>
      </c>
      <c r="EF49">
        <v>3</v>
      </c>
      <c r="EG49" t="s">
        <v>15</v>
      </c>
      <c r="EH49">
        <v>0</v>
      </c>
      <c r="EJ49">
        <v>2</v>
      </c>
      <c r="EK49">
        <v>55</v>
      </c>
      <c r="EL49" t="s">
        <v>22</v>
      </c>
      <c r="EM49" t="s">
        <v>23</v>
      </c>
      <c r="ET49">
        <v>2117.88</v>
      </c>
    </row>
    <row r="50" spans="1:150" ht="12.75">
      <c r="A50">
        <v>17</v>
      </c>
      <c r="B50">
        <v>1</v>
      </c>
      <c r="C50">
        <f>ROW(SmtRes!A140)</f>
        <v>140</v>
      </c>
      <c r="D50" t="s">
        <v>110</v>
      </c>
      <c r="E50" t="s">
        <v>109</v>
      </c>
      <c r="F50" t="s">
        <v>110</v>
      </c>
      <c r="G50" t="s">
        <v>111</v>
      </c>
      <c r="H50" t="s">
        <v>20</v>
      </c>
      <c r="I50">
        <v>9</v>
      </c>
      <c r="J50">
        <v>0</v>
      </c>
      <c r="O50">
        <f t="shared" si="3"/>
        <v>395.5</v>
      </c>
      <c r="P50">
        <f t="shared" si="4"/>
        <v>32.26</v>
      </c>
      <c r="Q50">
        <f t="shared" si="5"/>
        <v>0</v>
      </c>
      <c r="R50">
        <f t="shared" si="6"/>
        <v>0</v>
      </c>
      <c r="S50">
        <f t="shared" si="7"/>
        <v>363.24</v>
      </c>
      <c r="T50">
        <f t="shared" si="8"/>
        <v>0</v>
      </c>
      <c r="U50">
        <f t="shared" si="9"/>
        <v>37.8</v>
      </c>
      <c r="V50">
        <f t="shared" si="10"/>
        <v>0</v>
      </c>
      <c r="W50">
        <f t="shared" si="11"/>
        <v>0</v>
      </c>
      <c r="X50">
        <f t="shared" si="12"/>
        <v>290.59</v>
      </c>
      <c r="Y50">
        <f t="shared" si="13"/>
        <v>217.94</v>
      </c>
      <c r="AA50">
        <v>0</v>
      </c>
      <c r="AB50">
        <f t="shared" si="14"/>
        <v>43.944</v>
      </c>
      <c r="AC50">
        <f t="shared" si="15"/>
        <v>3.5839999999999996</v>
      </c>
      <c r="AD50">
        <f t="shared" si="16"/>
        <v>0</v>
      </c>
      <c r="AE50">
        <f t="shared" si="17"/>
        <v>0</v>
      </c>
      <c r="AF50">
        <f t="shared" si="18"/>
        <v>40.36</v>
      </c>
      <c r="AG50">
        <f t="shared" si="19"/>
        <v>0</v>
      </c>
      <c r="AH50">
        <f t="shared" si="20"/>
        <v>4.2</v>
      </c>
      <c r="AI50">
        <f t="shared" si="21"/>
        <v>0</v>
      </c>
      <c r="AJ50">
        <f t="shared" si="22"/>
        <v>0</v>
      </c>
      <c r="AK50">
        <v>42.92</v>
      </c>
      <c r="AL50" s="60">
        <f>2.56*($AL$23)</f>
        <v>3.5839999999999996</v>
      </c>
      <c r="AM50">
        <v>0</v>
      </c>
      <c r="AN50">
        <v>0</v>
      </c>
      <c r="AO50">
        <v>40.36</v>
      </c>
      <c r="AP50">
        <v>0</v>
      </c>
      <c r="AQ50">
        <v>4.2</v>
      </c>
      <c r="AR50">
        <v>0</v>
      </c>
      <c r="AS50">
        <v>0</v>
      </c>
      <c r="AT50">
        <v>80</v>
      </c>
      <c r="AU50">
        <v>60</v>
      </c>
      <c r="AV50">
        <v>1</v>
      </c>
      <c r="AW50">
        <v>1</v>
      </c>
      <c r="AX50">
        <v>1</v>
      </c>
      <c r="AY50">
        <v>1</v>
      </c>
      <c r="AZ50">
        <v>1</v>
      </c>
      <c r="BA50">
        <v>1</v>
      </c>
      <c r="BB50">
        <v>1</v>
      </c>
      <c r="BC50">
        <v>1</v>
      </c>
      <c r="BH50">
        <v>0</v>
      </c>
      <c r="BI50">
        <v>2</v>
      </c>
      <c r="BJ50" t="s">
        <v>112</v>
      </c>
      <c r="BM50">
        <v>55</v>
      </c>
      <c r="BN50">
        <v>0</v>
      </c>
      <c r="BO50" t="s">
        <v>110</v>
      </c>
      <c r="BP50">
        <v>1</v>
      </c>
      <c r="BQ50">
        <v>3</v>
      </c>
      <c r="BR50">
        <v>0</v>
      </c>
      <c r="BS50">
        <v>1</v>
      </c>
      <c r="BT50">
        <v>1</v>
      </c>
      <c r="BU50">
        <v>1</v>
      </c>
      <c r="BV50">
        <v>1</v>
      </c>
      <c r="BW50">
        <v>1</v>
      </c>
      <c r="BX50">
        <v>1</v>
      </c>
      <c r="CF50">
        <v>0</v>
      </c>
      <c r="CG50">
        <v>0</v>
      </c>
      <c r="CM50">
        <v>0</v>
      </c>
      <c r="CO50">
        <v>0</v>
      </c>
      <c r="CP50">
        <f t="shared" si="23"/>
        <v>395.5</v>
      </c>
      <c r="CQ50">
        <f t="shared" si="24"/>
        <v>3.5839999999999996</v>
      </c>
      <c r="CR50">
        <f t="shared" si="25"/>
        <v>0</v>
      </c>
      <c r="CS50">
        <f t="shared" si="26"/>
        <v>0</v>
      </c>
      <c r="CT50">
        <f t="shared" si="27"/>
        <v>40.36</v>
      </c>
      <c r="CU50">
        <f t="shared" si="28"/>
        <v>0</v>
      </c>
      <c r="CV50">
        <f t="shared" si="29"/>
        <v>4.2</v>
      </c>
      <c r="CW50">
        <f t="shared" si="30"/>
        <v>0</v>
      </c>
      <c r="CX50">
        <f t="shared" si="31"/>
        <v>0</v>
      </c>
      <c r="CY50">
        <f t="shared" si="32"/>
        <v>290.592</v>
      </c>
      <c r="CZ50">
        <f t="shared" si="33"/>
        <v>217.94400000000002</v>
      </c>
      <c r="DN50">
        <v>0</v>
      </c>
      <c r="DO50">
        <v>0</v>
      </c>
      <c r="DP50">
        <v>1</v>
      </c>
      <c r="DQ50">
        <v>1</v>
      </c>
      <c r="DR50">
        <v>1</v>
      </c>
      <c r="DS50">
        <v>1</v>
      </c>
      <c r="DT50">
        <v>1</v>
      </c>
      <c r="DU50">
        <v>1010</v>
      </c>
      <c r="DV50" t="s">
        <v>20</v>
      </c>
      <c r="DW50" t="s">
        <v>20</v>
      </c>
      <c r="DX50">
        <v>1</v>
      </c>
      <c r="EE50">
        <v>6294947</v>
      </c>
      <c r="EF50">
        <v>3</v>
      </c>
      <c r="EG50" t="s">
        <v>15</v>
      </c>
      <c r="EH50">
        <v>0</v>
      </c>
      <c r="EJ50">
        <v>2</v>
      </c>
      <c r="EK50">
        <v>55</v>
      </c>
      <c r="EL50" t="s">
        <v>22</v>
      </c>
      <c r="EM50" t="s">
        <v>23</v>
      </c>
      <c r="ET50">
        <v>14292.36</v>
      </c>
    </row>
    <row r="51" spans="1:150" ht="12.75">
      <c r="A51">
        <v>18</v>
      </c>
      <c r="B51">
        <v>1</v>
      </c>
      <c r="D51" t="s">
        <v>114</v>
      </c>
      <c r="E51" t="s">
        <v>113</v>
      </c>
      <c r="G51" t="s">
        <v>115</v>
      </c>
      <c r="H51" t="s">
        <v>20</v>
      </c>
      <c r="I51">
        <f>I50*J51</f>
        <v>9</v>
      </c>
      <c r="J51">
        <v>1</v>
      </c>
      <c r="O51">
        <f t="shared" si="3"/>
        <v>2410.76</v>
      </c>
      <c r="P51">
        <f t="shared" si="4"/>
        <v>2410.76</v>
      </c>
      <c r="Q51">
        <f t="shared" si="5"/>
        <v>0</v>
      </c>
      <c r="R51">
        <f t="shared" si="6"/>
        <v>0</v>
      </c>
      <c r="S51">
        <f t="shared" si="7"/>
        <v>0</v>
      </c>
      <c r="T51">
        <f t="shared" si="8"/>
        <v>0</v>
      </c>
      <c r="U51">
        <f t="shared" si="9"/>
        <v>0</v>
      </c>
      <c r="V51">
        <f t="shared" si="10"/>
        <v>0</v>
      </c>
      <c r="W51">
        <f t="shared" si="11"/>
        <v>0</v>
      </c>
      <c r="X51">
        <f t="shared" si="12"/>
        <v>0</v>
      </c>
      <c r="Y51">
        <f t="shared" si="13"/>
        <v>0</v>
      </c>
      <c r="AA51">
        <v>0</v>
      </c>
      <c r="AB51">
        <f t="shared" si="14"/>
        <v>267.862</v>
      </c>
      <c r="AC51">
        <f t="shared" si="15"/>
        <v>267.862</v>
      </c>
      <c r="AD51">
        <f t="shared" si="16"/>
        <v>0</v>
      </c>
      <c r="AE51">
        <f t="shared" si="17"/>
        <v>0</v>
      </c>
      <c r="AF51">
        <f t="shared" si="18"/>
        <v>0</v>
      </c>
      <c r="AG51">
        <f t="shared" si="19"/>
        <v>0</v>
      </c>
      <c r="AH51">
        <f t="shared" si="20"/>
        <v>0</v>
      </c>
      <c r="AI51">
        <f t="shared" si="21"/>
        <v>0</v>
      </c>
      <c r="AJ51">
        <f t="shared" si="22"/>
        <v>0</v>
      </c>
      <c r="AK51">
        <v>191.33</v>
      </c>
      <c r="AL51" s="60">
        <f>191.33*($AL$23)</f>
        <v>267.862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80</v>
      </c>
      <c r="AU51">
        <v>60</v>
      </c>
      <c r="AV51">
        <v>1</v>
      </c>
      <c r="AW51">
        <v>1</v>
      </c>
      <c r="AX51">
        <v>1</v>
      </c>
      <c r="AY51">
        <v>1</v>
      </c>
      <c r="AZ51">
        <v>1</v>
      </c>
      <c r="BA51">
        <v>1</v>
      </c>
      <c r="BB51">
        <v>1</v>
      </c>
      <c r="BC51">
        <v>1</v>
      </c>
      <c r="BH51">
        <v>3</v>
      </c>
      <c r="BI51">
        <v>2</v>
      </c>
      <c r="BJ51" t="s">
        <v>116</v>
      </c>
      <c r="BM51">
        <v>55</v>
      </c>
      <c r="BN51">
        <v>0</v>
      </c>
      <c r="BO51" t="s">
        <v>114</v>
      </c>
      <c r="BP51">
        <v>1</v>
      </c>
      <c r="BQ51">
        <v>3</v>
      </c>
      <c r="BR51">
        <v>0</v>
      </c>
      <c r="BS51">
        <v>1</v>
      </c>
      <c r="BT51">
        <v>1</v>
      </c>
      <c r="BU51">
        <v>1</v>
      </c>
      <c r="BV51">
        <v>1</v>
      </c>
      <c r="BW51">
        <v>1</v>
      </c>
      <c r="BX51">
        <v>1</v>
      </c>
      <c r="CF51">
        <v>0</v>
      </c>
      <c r="CG51">
        <v>0</v>
      </c>
      <c r="CM51">
        <v>0</v>
      </c>
      <c r="CO51">
        <v>0</v>
      </c>
      <c r="CP51">
        <f t="shared" si="23"/>
        <v>2410.76</v>
      </c>
      <c r="CQ51">
        <f t="shared" si="24"/>
        <v>267.862</v>
      </c>
      <c r="CR51">
        <f t="shared" si="25"/>
        <v>0</v>
      </c>
      <c r="CS51">
        <f t="shared" si="26"/>
        <v>0</v>
      </c>
      <c r="CT51">
        <f t="shared" si="27"/>
        <v>0</v>
      </c>
      <c r="CU51">
        <f t="shared" si="28"/>
        <v>0</v>
      </c>
      <c r="CV51">
        <f t="shared" si="29"/>
        <v>0</v>
      </c>
      <c r="CW51">
        <f t="shared" si="30"/>
        <v>0</v>
      </c>
      <c r="CX51">
        <f t="shared" si="31"/>
        <v>0</v>
      </c>
      <c r="CY51">
        <f t="shared" si="32"/>
        <v>0</v>
      </c>
      <c r="CZ51">
        <f t="shared" si="33"/>
        <v>0</v>
      </c>
      <c r="DN51">
        <v>0</v>
      </c>
      <c r="DO51">
        <v>0</v>
      </c>
      <c r="DP51">
        <v>1</v>
      </c>
      <c r="DQ51">
        <v>1</v>
      </c>
      <c r="DR51">
        <v>1</v>
      </c>
      <c r="DS51">
        <v>1</v>
      </c>
      <c r="DT51">
        <v>1</v>
      </c>
      <c r="DU51">
        <v>1010</v>
      </c>
      <c r="DV51" t="s">
        <v>20</v>
      </c>
      <c r="DW51" t="s">
        <v>20</v>
      </c>
      <c r="DX51">
        <v>1</v>
      </c>
      <c r="EE51">
        <v>6294947</v>
      </c>
      <c r="EF51">
        <v>3</v>
      </c>
      <c r="EG51" t="s">
        <v>15</v>
      </c>
      <c r="EH51">
        <v>0</v>
      </c>
      <c r="EJ51">
        <v>2</v>
      </c>
      <c r="EK51">
        <v>55</v>
      </c>
      <c r="EL51" t="s">
        <v>22</v>
      </c>
      <c r="EM51" t="s">
        <v>23</v>
      </c>
      <c r="ET51">
        <v>63712.89</v>
      </c>
    </row>
    <row r="52" spans="1:150" ht="12.75">
      <c r="A52">
        <v>17</v>
      </c>
      <c r="B52">
        <v>1</v>
      </c>
      <c r="C52">
        <f>ROW(SmtRes!A153)</f>
        <v>153</v>
      </c>
      <c r="D52" t="s">
        <v>118</v>
      </c>
      <c r="E52" t="s">
        <v>117</v>
      </c>
      <c r="F52" t="s">
        <v>118</v>
      </c>
      <c r="G52" t="s">
        <v>119</v>
      </c>
      <c r="H52" t="s">
        <v>60</v>
      </c>
      <c r="I52">
        <v>0.14</v>
      </c>
      <c r="J52">
        <v>0</v>
      </c>
      <c r="O52">
        <f t="shared" si="3"/>
        <v>27.85</v>
      </c>
      <c r="P52">
        <f t="shared" si="4"/>
        <v>20.18</v>
      </c>
      <c r="Q52">
        <f t="shared" si="5"/>
        <v>0.29</v>
      </c>
      <c r="R52">
        <f t="shared" si="6"/>
        <v>0.03</v>
      </c>
      <c r="S52">
        <f t="shared" si="7"/>
        <v>7.38</v>
      </c>
      <c r="T52">
        <f t="shared" si="8"/>
        <v>0</v>
      </c>
      <c r="U52">
        <f t="shared" si="9"/>
        <v>0.79</v>
      </c>
      <c r="V52">
        <f t="shared" si="10"/>
        <v>0</v>
      </c>
      <c r="W52">
        <f t="shared" si="11"/>
        <v>0</v>
      </c>
      <c r="X52">
        <f t="shared" si="12"/>
        <v>7.04</v>
      </c>
      <c r="Y52">
        <f t="shared" si="13"/>
        <v>4.82</v>
      </c>
      <c r="AA52">
        <v>0</v>
      </c>
      <c r="AB52">
        <f t="shared" si="14"/>
        <v>198.898</v>
      </c>
      <c r="AC52">
        <f t="shared" si="15"/>
        <v>144.158</v>
      </c>
      <c r="AD52">
        <f t="shared" si="16"/>
        <v>2.06</v>
      </c>
      <c r="AE52">
        <f t="shared" si="17"/>
        <v>0.24</v>
      </c>
      <c r="AF52">
        <f t="shared" si="18"/>
        <v>52.68</v>
      </c>
      <c r="AG52">
        <f t="shared" si="19"/>
        <v>0</v>
      </c>
      <c r="AH52">
        <f t="shared" si="20"/>
        <v>5.61</v>
      </c>
      <c r="AI52">
        <f t="shared" si="21"/>
        <v>0.02</v>
      </c>
      <c r="AJ52">
        <f t="shared" si="22"/>
        <v>0</v>
      </c>
      <c r="AK52">
        <v>157.71</v>
      </c>
      <c r="AL52" s="60">
        <f>102.97*($AL$23)</f>
        <v>144.158</v>
      </c>
      <c r="AM52">
        <v>2.06</v>
      </c>
      <c r="AN52">
        <v>0.24</v>
      </c>
      <c r="AO52">
        <v>52.68</v>
      </c>
      <c r="AP52">
        <v>0</v>
      </c>
      <c r="AQ52">
        <v>5.61</v>
      </c>
      <c r="AR52">
        <v>0.02</v>
      </c>
      <c r="AS52">
        <v>0</v>
      </c>
      <c r="AT52">
        <v>95</v>
      </c>
      <c r="AU52">
        <v>65</v>
      </c>
      <c r="AV52">
        <v>1</v>
      </c>
      <c r="AW52">
        <v>1</v>
      </c>
      <c r="AX52">
        <v>1</v>
      </c>
      <c r="AY52">
        <v>1</v>
      </c>
      <c r="AZ52">
        <v>1</v>
      </c>
      <c r="BA52">
        <v>1</v>
      </c>
      <c r="BB52">
        <v>1</v>
      </c>
      <c r="BC52">
        <v>1</v>
      </c>
      <c r="BH52">
        <v>0</v>
      </c>
      <c r="BI52">
        <v>2</v>
      </c>
      <c r="BJ52" t="s">
        <v>120</v>
      </c>
      <c r="BM52">
        <v>57</v>
      </c>
      <c r="BN52">
        <v>0</v>
      </c>
      <c r="BO52" t="s">
        <v>118</v>
      </c>
      <c r="BP52">
        <v>1</v>
      </c>
      <c r="BQ52">
        <v>3</v>
      </c>
      <c r="BR52">
        <v>0</v>
      </c>
      <c r="BS52">
        <v>1</v>
      </c>
      <c r="BT52">
        <v>1</v>
      </c>
      <c r="BU52">
        <v>1</v>
      </c>
      <c r="BV52">
        <v>1</v>
      </c>
      <c r="BW52">
        <v>1</v>
      </c>
      <c r="BX52">
        <v>1</v>
      </c>
      <c r="CF52">
        <v>0</v>
      </c>
      <c r="CG52">
        <v>0</v>
      </c>
      <c r="CM52">
        <v>0</v>
      </c>
      <c r="CO52">
        <v>0</v>
      </c>
      <c r="CP52">
        <f t="shared" si="23"/>
        <v>27.849999999999998</v>
      </c>
      <c r="CQ52">
        <f t="shared" si="24"/>
        <v>144.158</v>
      </c>
      <c r="CR52">
        <f t="shared" si="25"/>
        <v>2.06</v>
      </c>
      <c r="CS52">
        <f t="shared" si="26"/>
        <v>0.24</v>
      </c>
      <c r="CT52">
        <f t="shared" si="27"/>
        <v>52.68</v>
      </c>
      <c r="CU52">
        <f t="shared" si="28"/>
        <v>0</v>
      </c>
      <c r="CV52">
        <f t="shared" si="29"/>
        <v>5.61</v>
      </c>
      <c r="CW52">
        <f t="shared" si="30"/>
        <v>0.02</v>
      </c>
      <c r="CX52">
        <f t="shared" si="31"/>
        <v>0</v>
      </c>
      <c r="CY52">
        <f t="shared" si="32"/>
        <v>7.0395</v>
      </c>
      <c r="CZ52">
        <f t="shared" si="33"/>
        <v>4.8165000000000004</v>
      </c>
      <c r="DN52">
        <v>0</v>
      </c>
      <c r="DO52">
        <v>0</v>
      </c>
      <c r="DP52">
        <v>1</v>
      </c>
      <c r="DQ52">
        <v>1</v>
      </c>
      <c r="DR52">
        <v>1</v>
      </c>
      <c r="DS52">
        <v>1</v>
      </c>
      <c r="DT52">
        <v>1</v>
      </c>
      <c r="DU52">
        <v>1003</v>
      </c>
      <c r="DV52" t="s">
        <v>60</v>
      </c>
      <c r="DW52" t="s">
        <v>60</v>
      </c>
      <c r="DX52">
        <v>100</v>
      </c>
      <c r="EE52">
        <v>6294949</v>
      </c>
      <c r="EF52">
        <v>3</v>
      </c>
      <c r="EG52" t="s">
        <v>15</v>
      </c>
      <c r="EH52">
        <v>0</v>
      </c>
      <c r="EJ52">
        <v>2</v>
      </c>
      <c r="EK52">
        <v>57</v>
      </c>
      <c r="EL52" t="s">
        <v>73</v>
      </c>
      <c r="EM52" t="s">
        <v>74</v>
      </c>
      <c r="ET52">
        <v>817.33</v>
      </c>
    </row>
    <row r="53" spans="1:150" ht="12.75">
      <c r="A53">
        <v>18</v>
      </c>
      <c r="B53">
        <v>1</v>
      </c>
      <c r="D53" t="s">
        <v>122</v>
      </c>
      <c r="E53" t="s">
        <v>121</v>
      </c>
      <c r="G53" t="s">
        <v>123</v>
      </c>
      <c r="H53" t="s">
        <v>20</v>
      </c>
      <c r="I53">
        <f>I52*J53</f>
        <v>1.9999999600000002</v>
      </c>
      <c r="J53">
        <v>14.285714</v>
      </c>
      <c r="O53">
        <f t="shared" si="3"/>
        <v>1600.42</v>
      </c>
      <c r="P53">
        <f t="shared" si="4"/>
        <v>1600.42</v>
      </c>
      <c r="Q53">
        <f t="shared" si="5"/>
        <v>0</v>
      </c>
      <c r="R53">
        <f t="shared" si="6"/>
        <v>0</v>
      </c>
      <c r="S53">
        <f t="shared" si="7"/>
        <v>0</v>
      </c>
      <c r="T53">
        <f t="shared" si="8"/>
        <v>0</v>
      </c>
      <c r="U53">
        <f t="shared" si="9"/>
        <v>0</v>
      </c>
      <c r="V53">
        <f t="shared" si="10"/>
        <v>0</v>
      </c>
      <c r="W53">
        <f t="shared" si="11"/>
        <v>0</v>
      </c>
      <c r="X53">
        <f t="shared" si="12"/>
        <v>0</v>
      </c>
      <c r="Y53">
        <f t="shared" si="13"/>
        <v>0</v>
      </c>
      <c r="AA53">
        <v>0</v>
      </c>
      <c r="AB53">
        <f t="shared" si="14"/>
        <v>800.212</v>
      </c>
      <c r="AC53">
        <f t="shared" si="15"/>
        <v>800.212</v>
      </c>
      <c r="AD53">
        <f t="shared" si="16"/>
        <v>0</v>
      </c>
      <c r="AE53">
        <f t="shared" si="17"/>
        <v>0</v>
      </c>
      <c r="AF53">
        <f t="shared" si="18"/>
        <v>0</v>
      </c>
      <c r="AG53">
        <f t="shared" si="19"/>
        <v>0</v>
      </c>
      <c r="AH53">
        <f t="shared" si="20"/>
        <v>0</v>
      </c>
      <c r="AI53">
        <f t="shared" si="21"/>
        <v>0</v>
      </c>
      <c r="AJ53">
        <f t="shared" si="22"/>
        <v>0</v>
      </c>
      <c r="AK53">
        <v>571.58</v>
      </c>
      <c r="AL53" s="60">
        <f>571.58*($AL$23)</f>
        <v>800.212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80</v>
      </c>
      <c r="AU53">
        <v>60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H53">
        <v>3</v>
      </c>
      <c r="BI53">
        <v>2</v>
      </c>
      <c r="BJ53" t="s">
        <v>124</v>
      </c>
      <c r="BM53">
        <v>55</v>
      </c>
      <c r="BN53">
        <v>0</v>
      </c>
      <c r="BO53" t="s">
        <v>122</v>
      </c>
      <c r="BP53">
        <v>1</v>
      </c>
      <c r="BQ53">
        <v>3</v>
      </c>
      <c r="BR53">
        <v>0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CF53">
        <v>0</v>
      </c>
      <c r="CG53">
        <v>0</v>
      </c>
      <c r="CM53">
        <v>0</v>
      </c>
      <c r="CO53">
        <v>0</v>
      </c>
      <c r="CP53">
        <f t="shared" si="23"/>
        <v>1600.42</v>
      </c>
      <c r="CQ53">
        <f t="shared" si="24"/>
        <v>800.212</v>
      </c>
      <c r="CR53">
        <f t="shared" si="25"/>
        <v>0</v>
      </c>
      <c r="CS53">
        <f t="shared" si="26"/>
        <v>0</v>
      </c>
      <c r="CT53">
        <f t="shared" si="27"/>
        <v>0</v>
      </c>
      <c r="CU53">
        <f t="shared" si="28"/>
        <v>0</v>
      </c>
      <c r="CV53">
        <f t="shared" si="29"/>
        <v>0</v>
      </c>
      <c r="CW53">
        <f t="shared" si="30"/>
        <v>0</v>
      </c>
      <c r="CX53">
        <f t="shared" si="31"/>
        <v>0</v>
      </c>
      <c r="CY53">
        <f t="shared" si="32"/>
        <v>0</v>
      </c>
      <c r="CZ53">
        <f t="shared" si="33"/>
        <v>0</v>
      </c>
      <c r="DN53">
        <v>0</v>
      </c>
      <c r="DO53">
        <v>0</v>
      </c>
      <c r="DP53">
        <v>1</v>
      </c>
      <c r="DQ53">
        <v>1</v>
      </c>
      <c r="DR53">
        <v>1</v>
      </c>
      <c r="DS53">
        <v>1</v>
      </c>
      <c r="DT53">
        <v>1</v>
      </c>
      <c r="DU53">
        <v>1010</v>
      </c>
      <c r="DV53" t="s">
        <v>20</v>
      </c>
      <c r="DW53" t="s">
        <v>20</v>
      </c>
      <c r="DX53">
        <v>1</v>
      </c>
      <c r="EE53">
        <v>6294947</v>
      </c>
      <c r="EF53">
        <v>3</v>
      </c>
      <c r="EG53" t="s">
        <v>15</v>
      </c>
      <c r="EH53">
        <v>0</v>
      </c>
      <c r="EJ53">
        <v>2</v>
      </c>
      <c r="EK53">
        <v>55</v>
      </c>
      <c r="EL53" t="s">
        <v>22</v>
      </c>
      <c r="EM53" t="s">
        <v>23</v>
      </c>
      <c r="ET53">
        <v>42296.92</v>
      </c>
    </row>
    <row r="54" spans="1:150" ht="12.75">
      <c r="A54">
        <v>17</v>
      </c>
      <c r="B54">
        <v>1</v>
      </c>
      <c r="C54">
        <f>ROW(SmtRes!A163)</f>
        <v>163</v>
      </c>
      <c r="D54" t="s">
        <v>126</v>
      </c>
      <c r="E54" t="s">
        <v>125</v>
      </c>
      <c r="F54" t="s">
        <v>126</v>
      </c>
      <c r="G54" t="s">
        <v>127</v>
      </c>
      <c r="H54" t="s">
        <v>128</v>
      </c>
      <c r="I54">
        <v>0.02</v>
      </c>
      <c r="J54">
        <v>0</v>
      </c>
      <c r="O54">
        <f t="shared" si="3"/>
        <v>48.35</v>
      </c>
      <c r="P54">
        <f t="shared" si="4"/>
        <v>31.65</v>
      </c>
      <c r="Q54">
        <f t="shared" si="5"/>
        <v>1.54</v>
      </c>
      <c r="R54">
        <f t="shared" si="6"/>
        <v>0.05</v>
      </c>
      <c r="S54">
        <f t="shared" si="7"/>
        <v>15.16</v>
      </c>
      <c r="T54">
        <f t="shared" si="8"/>
        <v>0</v>
      </c>
      <c r="U54">
        <f t="shared" si="9"/>
        <v>1.53</v>
      </c>
      <c r="V54">
        <f t="shared" si="10"/>
        <v>0</v>
      </c>
      <c r="W54">
        <f t="shared" si="11"/>
        <v>0</v>
      </c>
      <c r="X54">
        <f t="shared" si="12"/>
        <v>14.45</v>
      </c>
      <c r="Y54">
        <f t="shared" si="13"/>
        <v>9.89</v>
      </c>
      <c r="AA54">
        <v>0</v>
      </c>
      <c r="AB54">
        <f t="shared" si="14"/>
        <v>2417.996</v>
      </c>
      <c r="AC54">
        <f t="shared" si="15"/>
        <v>1582.686</v>
      </c>
      <c r="AD54">
        <f t="shared" si="16"/>
        <v>77.19</v>
      </c>
      <c r="AE54">
        <f t="shared" si="17"/>
        <v>2.36</v>
      </c>
      <c r="AF54">
        <f t="shared" si="18"/>
        <v>758.12</v>
      </c>
      <c r="AG54">
        <f t="shared" si="19"/>
        <v>0</v>
      </c>
      <c r="AH54">
        <f t="shared" si="20"/>
        <v>76.5</v>
      </c>
      <c r="AI54">
        <f t="shared" si="21"/>
        <v>0.2</v>
      </c>
      <c r="AJ54">
        <f t="shared" si="22"/>
        <v>0</v>
      </c>
      <c r="AK54">
        <v>1965.8</v>
      </c>
      <c r="AL54" s="60">
        <f>1130.49*($AL$23)</f>
        <v>1582.686</v>
      </c>
      <c r="AM54">
        <v>77.19</v>
      </c>
      <c r="AN54">
        <v>2.36</v>
      </c>
      <c r="AO54">
        <v>758.12</v>
      </c>
      <c r="AP54">
        <v>0</v>
      </c>
      <c r="AQ54">
        <v>76.5</v>
      </c>
      <c r="AR54">
        <v>0.2</v>
      </c>
      <c r="AS54">
        <v>0</v>
      </c>
      <c r="AT54">
        <v>95</v>
      </c>
      <c r="AU54">
        <v>65</v>
      </c>
      <c r="AV54">
        <v>1</v>
      </c>
      <c r="AW54">
        <v>1</v>
      </c>
      <c r="AX54">
        <v>1</v>
      </c>
      <c r="AY54">
        <v>1</v>
      </c>
      <c r="AZ54">
        <v>1</v>
      </c>
      <c r="BA54">
        <v>1</v>
      </c>
      <c r="BB54">
        <v>1</v>
      </c>
      <c r="BC54">
        <v>1</v>
      </c>
      <c r="BH54">
        <v>0</v>
      </c>
      <c r="BI54">
        <v>2</v>
      </c>
      <c r="BJ54" t="s">
        <v>129</v>
      </c>
      <c r="BM54">
        <v>57</v>
      </c>
      <c r="BN54">
        <v>0</v>
      </c>
      <c r="BO54" t="s">
        <v>126</v>
      </c>
      <c r="BP54">
        <v>1</v>
      </c>
      <c r="BQ54">
        <v>3</v>
      </c>
      <c r="BR54">
        <v>0</v>
      </c>
      <c r="BS54">
        <v>1</v>
      </c>
      <c r="BT54">
        <v>1</v>
      </c>
      <c r="BU54">
        <v>1</v>
      </c>
      <c r="BV54">
        <v>1</v>
      </c>
      <c r="BW54">
        <v>1</v>
      </c>
      <c r="BX54">
        <v>1</v>
      </c>
      <c r="CF54">
        <v>0</v>
      </c>
      <c r="CG54">
        <v>0</v>
      </c>
      <c r="CM54">
        <v>0</v>
      </c>
      <c r="CO54">
        <v>0</v>
      </c>
      <c r="CP54">
        <f t="shared" si="23"/>
        <v>48.349999999999994</v>
      </c>
      <c r="CQ54">
        <f t="shared" si="24"/>
        <v>1582.686</v>
      </c>
      <c r="CR54">
        <f t="shared" si="25"/>
        <v>77.19</v>
      </c>
      <c r="CS54">
        <f t="shared" si="26"/>
        <v>2.36</v>
      </c>
      <c r="CT54">
        <f t="shared" si="27"/>
        <v>758.12</v>
      </c>
      <c r="CU54">
        <f t="shared" si="28"/>
        <v>0</v>
      </c>
      <c r="CV54">
        <f t="shared" si="29"/>
        <v>76.5</v>
      </c>
      <c r="CW54">
        <f t="shared" si="30"/>
        <v>0.2</v>
      </c>
      <c r="CX54">
        <f t="shared" si="31"/>
        <v>0</v>
      </c>
      <c r="CY54">
        <f t="shared" si="32"/>
        <v>14.4495</v>
      </c>
      <c r="CZ54">
        <f t="shared" si="33"/>
        <v>9.886500000000002</v>
      </c>
      <c r="DN54">
        <v>0</v>
      </c>
      <c r="DO54">
        <v>0</v>
      </c>
      <c r="DP54">
        <v>1</v>
      </c>
      <c r="DQ54">
        <v>1</v>
      </c>
      <c r="DR54">
        <v>1</v>
      </c>
      <c r="DS54">
        <v>1</v>
      </c>
      <c r="DT54">
        <v>1</v>
      </c>
      <c r="DU54">
        <v>1013</v>
      </c>
      <c r="DV54" t="s">
        <v>128</v>
      </c>
      <c r="DW54" t="s">
        <v>128</v>
      </c>
      <c r="DX54">
        <v>1</v>
      </c>
      <c r="EE54">
        <v>6294949</v>
      </c>
      <c r="EF54">
        <v>3</v>
      </c>
      <c r="EG54" t="s">
        <v>15</v>
      </c>
      <c r="EH54">
        <v>0</v>
      </c>
      <c r="EJ54">
        <v>2</v>
      </c>
      <c r="EK54">
        <v>57</v>
      </c>
      <c r="EL54" t="s">
        <v>73</v>
      </c>
      <c r="EM54" t="s">
        <v>74</v>
      </c>
      <c r="ET54">
        <v>1454.47</v>
      </c>
    </row>
    <row r="55" spans="1:150" ht="12.75">
      <c r="A55">
        <v>17</v>
      </c>
      <c r="B55">
        <v>1</v>
      </c>
      <c r="C55">
        <f>ROW(SmtRes!A181)</f>
        <v>181</v>
      </c>
      <c r="D55" t="s">
        <v>131</v>
      </c>
      <c r="E55" t="s">
        <v>130</v>
      </c>
      <c r="F55" t="s">
        <v>131</v>
      </c>
      <c r="G55" t="s">
        <v>132</v>
      </c>
      <c r="H55" t="s">
        <v>60</v>
      </c>
      <c r="I55">
        <v>0.05</v>
      </c>
      <c r="J55">
        <v>0</v>
      </c>
      <c r="O55">
        <f t="shared" si="3"/>
        <v>68.56</v>
      </c>
      <c r="P55">
        <f t="shared" si="4"/>
        <v>47.25</v>
      </c>
      <c r="Q55">
        <f t="shared" si="5"/>
        <v>5.02</v>
      </c>
      <c r="R55">
        <f t="shared" si="6"/>
        <v>0.26</v>
      </c>
      <c r="S55">
        <f t="shared" si="7"/>
        <v>16.29</v>
      </c>
      <c r="T55">
        <f t="shared" si="8"/>
        <v>0</v>
      </c>
      <c r="U55">
        <f t="shared" si="9"/>
        <v>1.74</v>
      </c>
      <c r="V55">
        <f t="shared" si="10"/>
        <v>0.02</v>
      </c>
      <c r="W55">
        <f t="shared" si="11"/>
        <v>0</v>
      </c>
      <c r="X55">
        <f t="shared" si="12"/>
        <v>15.72</v>
      </c>
      <c r="Y55">
        <f t="shared" si="13"/>
        <v>10.76</v>
      </c>
      <c r="AA55">
        <v>0</v>
      </c>
      <c r="AB55">
        <f t="shared" si="14"/>
        <v>1371.2399999999998</v>
      </c>
      <c r="AC55">
        <f t="shared" si="15"/>
        <v>945.0699999999998</v>
      </c>
      <c r="AD55">
        <f t="shared" si="16"/>
        <v>100.34</v>
      </c>
      <c r="AE55">
        <f t="shared" si="17"/>
        <v>5.2</v>
      </c>
      <c r="AF55">
        <f t="shared" si="18"/>
        <v>325.83</v>
      </c>
      <c r="AG55">
        <f t="shared" si="19"/>
        <v>0</v>
      </c>
      <c r="AH55">
        <f t="shared" si="20"/>
        <v>34.7</v>
      </c>
      <c r="AI55">
        <f t="shared" si="21"/>
        <v>0.44</v>
      </c>
      <c r="AJ55">
        <f t="shared" si="22"/>
        <v>0</v>
      </c>
      <c r="AK55">
        <v>1101.22</v>
      </c>
      <c r="AL55" s="60">
        <f>675.05*($AL$23)</f>
        <v>945.0699999999998</v>
      </c>
      <c r="AM55">
        <v>100.34</v>
      </c>
      <c r="AN55">
        <v>5.2</v>
      </c>
      <c r="AO55">
        <v>325.83</v>
      </c>
      <c r="AP55">
        <v>0</v>
      </c>
      <c r="AQ55">
        <v>34.7</v>
      </c>
      <c r="AR55">
        <v>0.44</v>
      </c>
      <c r="AS55">
        <v>0</v>
      </c>
      <c r="AT55">
        <v>95</v>
      </c>
      <c r="AU55">
        <v>65</v>
      </c>
      <c r="AV55">
        <v>1</v>
      </c>
      <c r="AW55">
        <v>1</v>
      </c>
      <c r="AX55">
        <v>1</v>
      </c>
      <c r="AY55">
        <v>1</v>
      </c>
      <c r="AZ55">
        <v>1</v>
      </c>
      <c r="BA55">
        <v>1</v>
      </c>
      <c r="BB55">
        <v>1</v>
      </c>
      <c r="BC55">
        <v>1</v>
      </c>
      <c r="BH55">
        <v>0</v>
      </c>
      <c r="BI55">
        <v>2</v>
      </c>
      <c r="BJ55" t="s">
        <v>133</v>
      </c>
      <c r="BM55">
        <v>57</v>
      </c>
      <c r="BN55">
        <v>0</v>
      </c>
      <c r="BO55" t="s">
        <v>131</v>
      </c>
      <c r="BP55">
        <v>1</v>
      </c>
      <c r="BQ55">
        <v>3</v>
      </c>
      <c r="BR55">
        <v>0</v>
      </c>
      <c r="BS55">
        <v>1</v>
      </c>
      <c r="BT55">
        <v>1</v>
      </c>
      <c r="BU55">
        <v>1</v>
      </c>
      <c r="BV55">
        <v>1</v>
      </c>
      <c r="BW55">
        <v>1</v>
      </c>
      <c r="BX55">
        <v>1</v>
      </c>
      <c r="CF55">
        <v>0</v>
      </c>
      <c r="CG55">
        <v>0</v>
      </c>
      <c r="CM55">
        <v>0</v>
      </c>
      <c r="CO55">
        <v>0</v>
      </c>
      <c r="CP55">
        <f t="shared" si="23"/>
        <v>68.56</v>
      </c>
      <c r="CQ55">
        <f t="shared" si="24"/>
        <v>945.0699999999998</v>
      </c>
      <c r="CR55">
        <f t="shared" si="25"/>
        <v>100.34</v>
      </c>
      <c r="CS55">
        <f t="shared" si="26"/>
        <v>5.2</v>
      </c>
      <c r="CT55">
        <f t="shared" si="27"/>
        <v>325.83</v>
      </c>
      <c r="CU55">
        <f t="shared" si="28"/>
        <v>0</v>
      </c>
      <c r="CV55">
        <f t="shared" si="29"/>
        <v>34.7</v>
      </c>
      <c r="CW55">
        <f t="shared" si="30"/>
        <v>0.44</v>
      </c>
      <c r="CX55">
        <f t="shared" si="31"/>
        <v>0</v>
      </c>
      <c r="CY55">
        <f t="shared" si="32"/>
        <v>15.7225</v>
      </c>
      <c r="CZ55">
        <f t="shared" si="33"/>
        <v>10.7575</v>
      </c>
      <c r="DN55">
        <v>0</v>
      </c>
      <c r="DO55">
        <v>0</v>
      </c>
      <c r="DP55">
        <v>1</v>
      </c>
      <c r="DQ55">
        <v>1</v>
      </c>
      <c r="DR55">
        <v>1</v>
      </c>
      <c r="DS55">
        <v>1</v>
      </c>
      <c r="DT55">
        <v>1</v>
      </c>
      <c r="DU55">
        <v>1003</v>
      </c>
      <c r="DV55" t="s">
        <v>60</v>
      </c>
      <c r="DW55" t="s">
        <v>60</v>
      </c>
      <c r="DX55">
        <v>100</v>
      </c>
      <c r="EE55">
        <v>6294949</v>
      </c>
      <c r="EF55">
        <v>3</v>
      </c>
      <c r="EG55" t="s">
        <v>15</v>
      </c>
      <c r="EH55">
        <v>0</v>
      </c>
      <c r="EJ55">
        <v>2</v>
      </c>
      <c r="EK55">
        <v>57</v>
      </c>
      <c r="EL55" t="s">
        <v>73</v>
      </c>
      <c r="EM55" t="s">
        <v>74</v>
      </c>
      <c r="ET55">
        <v>2037.22</v>
      </c>
    </row>
    <row r="56" spans="1:150" ht="12.75">
      <c r="A56">
        <v>18</v>
      </c>
      <c r="B56">
        <v>1</v>
      </c>
      <c r="D56" t="s">
        <v>135</v>
      </c>
      <c r="E56" t="s">
        <v>134</v>
      </c>
      <c r="G56" t="s">
        <v>136</v>
      </c>
      <c r="H56" t="s">
        <v>107</v>
      </c>
      <c r="I56">
        <f>I55*J56</f>
        <v>5</v>
      </c>
      <c r="J56">
        <v>100</v>
      </c>
      <c r="O56">
        <f t="shared" si="3"/>
        <v>56.84</v>
      </c>
      <c r="P56">
        <f t="shared" si="4"/>
        <v>56.84</v>
      </c>
      <c r="Q56">
        <f t="shared" si="5"/>
        <v>0</v>
      </c>
      <c r="R56">
        <f t="shared" si="6"/>
        <v>0</v>
      </c>
      <c r="S56">
        <f t="shared" si="7"/>
        <v>0</v>
      </c>
      <c r="T56">
        <f t="shared" si="8"/>
        <v>0</v>
      </c>
      <c r="U56">
        <f t="shared" si="9"/>
        <v>0</v>
      </c>
      <c r="V56">
        <f t="shared" si="10"/>
        <v>0</v>
      </c>
      <c r="W56">
        <f t="shared" si="11"/>
        <v>0</v>
      </c>
      <c r="X56">
        <f t="shared" si="12"/>
        <v>0</v>
      </c>
      <c r="Y56">
        <f t="shared" si="13"/>
        <v>0</v>
      </c>
      <c r="AA56">
        <v>0</v>
      </c>
      <c r="AB56">
        <f t="shared" si="14"/>
        <v>11.367999999999999</v>
      </c>
      <c r="AC56">
        <f t="shared" si="15"/>
        <v>11.367999999999999</v>
      </c>
      <c r="AD56">
        <f t="shared" si="16"/>
        <v>0</v>
      </c>
      <c r="AE56">
        <f t="shared" si="17"/>
        <v>0</v>
      </c>
      <c r="AF56">
        <f t="shared" si="18"/>
        <v>0</v>
      </c>
      <c r="AG56">
        <f t="shared" si="19"/>
        <v>0</v>
      </c>
      <c r="AH56">
        <f t="shared" si="20"/>
        <v>0</v>
      </c>
      <c r="AI56">
        <f t="shared" si="21"/>
        <v>0</v>
      </c>
      <c r="AJ56">
        <f t="shared" si="22"/>
        <v>0</v>
      </c>
      <c r="AK56">
        <v>8.12</v>
      </c>
      <c r="AL56" s="60">
        <f>8.12*($AL$23)</f>
        <v>11.367999999999999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95</v>
      </c>
      <c r="AU56">
        <v>65</v>
      </c>
      <c r="AV56">
        <v>1</v>
      </c>
      <c r="AW56">
        <v>1</v>
      </c>
      <c r="AX56">
        <v>1</v>
      </c>
      <c r="AY56">
        <v>1</v>
      </c>
      <c r="AZ56">
        <v>1</v>
      </c>
      <c r="BA56">
        <v>1</v>
      </c>
      <c r="BB56">
        <v>1</v>
      </c>
      <c r="BC56">
        <v>1</v>
      </c>
      <c r="BH56">
        <v>3</v>
      </c>
      <c r="BI56">
        <v>2</v>
      </c>
      <c r="BJ56" t="s">
        <v>137</v>
      </c>
      <c r="BM56">
        <v>57</v>
      </c>
      <c r="BN56">
        <v>0</v>
      </c>
      <c r="BO56" t="s">
        <v>135</v>
      </c>
      <c r="BP56">
        <v>1</v>
      </c>
      <c r="BQ56">
        <v>3</v>
      </c>
      <c r="BR56">
        <v>0</v>
      </c>
      <c r="BS56">
        <v>1</v>
      </c>
      <c r="BT56">
        <v>1</v>
      </c>
      <c r="BU56">
        <v>1</v>
      </c>
      <c r="BV56">
        <v>1</v>
      </c>
      <c r="BW56">
        <v>1</v>
      </c>
      <c r="BX56">
        <v>1</v>
      </c>
      <c r="CF56">
        <v>0</v>
      </c>
      <c r="CG56">
        <v>0</v>
      </c>
      <c r="CM56">
        <v>0</v>
      </c>
      <c r="CO56">
        <v>0</v>
      </c>
      <c r="CP56">
        <f t="shared" si="23"/>
        <v>56.84</v>
      </c>
      <c r="CQ56">
        <f t="shared" si="24"/>
        <v>11.367999999999999</v>
      </c>
      <c r="CR56">
        <f t="shared" si="25"/>
        <v>0</v>
      </c>
      <c r="CS56">
        <f t="shared" si="26"/>
        <v>0</v>
      </c>
      <c r="CT56">
        <f t="shared" si="27"/>
        <v>0</v>
      </c>
      <c r="CU56">
        <f t="shared" si="28"/>
        <v>0</v>
      </c>
      <c r="CV56">
        <f t="shared" si="29"/>
        <v>0</v>
      </c>
      <c r="CW56">
        <f t="shared" si="30"/>
        <v>0</v>
      </c>
      <c r="CX56">
        <f t="shared" si="31"/>
        <v>0</v>
      </c>
      <c r="CY56">
        <f t="shared" si="32"/>
        <v>0</v>
      </c>
      <c r="CZ56">
        <f t="shared" si="33"/>
        <v>0</v>
      </c>
      <c r="DN56">
        <v>0</v>
      </c>
      <c r="DO56">
        <v>0</v>
      </c>
      <c r="DP56">
        <v>1</v>
      </c>
      <c r="DQ56">
        <v>1</v>
      </c>
      <c r="DR56">
        <v>1</v>
      </c>
      <c r="DS56">
        <v>1</v>
      </c>
      <c r="DT56">
        <v>1</v>
      </c>
      <c r="DU56">
        <v>1003</v>
      </c>
      <c r="DV56" t="s">
        <v>107</v>
      </c>
      <c r="DW56" t="s">
        <v>107</v>
      </c>
      <c r="DX56">
        <v>1</v>
      </c>
      <c r="EE56">
        <v>6294949</v>
      </c>
      <c r="EF56">
        <v>3</v>
      </c>
      <c r="EG56" t="s">
        <v>15</v>
      </c>
      <c r="EH56">
        <v>0</v>
      </c>
      <c r="EJ56">
        <v>2</v>
      </c>
      <c r="EK56">
        <v>57</v>
      </c>
      <c r="EL56" t="s">
        <v>73</v>
      </c>
      <c r="EM56" t="s">
        <v>74</v>
      </c>
      <c r="ET56">
        <v>1502.2</v>
      </c>
    </row>
    <row r="57" spans="1:150" ht="12.75">
      <c r="A57">
        <v>17</v>
      </c>
      <c r="B57">
        <v>1</v>
      </c>
      <c r="C57">
        <f>ROW(SmtRes!A195)</f>
        <v>195</v>
      </c>
      <c r="D57" t="s">
        <v>139</v>
      </c>
      <c r="E57" t="s">
        <v>138</v>
      </c>
      <c r="F57" t="s">
        <v>139</v>
      </c>
      <c r="G57" t="s">
        <v>140</v>
      </c>
      <c r="H57" t="s">
        <v>141</v>
      </c>
      <c r="I57">
        <v>0.4</v>
      </c>
      <c r="J57">
        <v>0</v>
      </c>
      <c r="O57">
        <f t="shared" si="3"/>
        <v>116.01</v>
      </c>
      <c r="P57">
        <f t="shared" si="4"/>
        <v>48.59</v>
      </c>
      <c r="Q57">
        <f t="shared" si="5"/>
        <v>0.82</v>
      </c>
      <c r="R57">
        <f t="shared" si="6"/>
        <v>0.1</v>
      </c>
      <c r="S57">
        <f t="shared" si="7"/>
        <v>66.6</v>
      </c>
      <c r="T57">
        <f t="shared" si="8"/>
        <v>0</v>
      </c>
      <c r="U57">
        <f t="shared" si="9"/>
        <v>6.72</v>
      </c>
      <c r="V57">
        <f t="shared" si="10"/>
        <v>0.01</v>
      </c>
      <c r="W57">
        <f t="shared" si="11"/>
        <v>0</v>
      </c>
      <c r="X57">
        <f t="shared" si="12"/>
        <v>63.37</v>
      </c>
      <c r="Y57">
        <f t="shared" si="13"/>
        <v>43.36</v>
      </c>
      <c r="AA57">
        <v>0</v>
      </c>
      <c r="AB57">
        <f t="shared" si="14"/>
        <v>290.028</v>
      </c>
      <c r="AC57">
        <f t="shared" si="15"/>
        <v>121.47799999999998</v>
      </c>
      <c r="AD57">
        <f t="shared" si="16"/>
        <v>2.06</v>
      </c>
      <c r="AE57">
        <f t="shared" si="17"/>
        <v>0.24</v>
      </c>
      <c r="AF57">
        <f t="shared" si="18"/>
        <v>166.49</v>
      </c>
      <c r="AG57">
        <f t="shared" si="19"/>
        <v>0</v>
      </c>
      <c r="AH57">
        <f t="shared" si="20"/>
        <v>16.8</v>
      </c>
      <c r="AI57">
        <f t="shared" si="21"/>
        <v>0.02</v>
      </c>
      <c r="AJ57">
        <f t="shared" si="22"/>
        <v>0</v>
      </c>
      <c r="AK57">
        <v>255.32</v>
      </c>
      <c r="AL57" s="60">
        <f>86.77*($AL$23)</f>
        <v>121.47799999999998</v>
      </c>
      <c r="AM57">
        <v>2.06</v>
      </c>
      <c r="AN57">
        <v>0.24</v>
      </c>
      <c r="AO57">
        <v>166.49</v>
      </c>
      <c r="AP57">
        <v>0</v>
      </c>
      <c r="AQ57">
        <v>16.8</v>
      </c>
      <c r="AR57">
        <v>0.02</v>
      </c>
      <c r="AS57">
        <v>0</v>
      </c>
      <c r="AT57">
        <v>95</v>
      </c>
      <c r="AU57">
        <v>65</v>
      </c>
      <c r="AV57">
        <v>1</v>
      </c>
      <c r="AW57">
        <v>1</v>
      </c>
      <c r="AX57">
        <v>1</v>
      </c>
      <c r="AY57">
        <v>1</v>
      </c>
      <c r="AZ57">
        <v>1</v>
      </c>
      <c r="BA57">
        <v>1</v>
      </c>
      <c r="BB57">
        <v>1</v>
      </c>
      <c r="BC57">
        <v>1</v>
      </c>
      <c r="BH57">
        <v>0</v>
      </c>
      <c r="BI57">
        <v>2</v>
      </c>
      <c r="BJ57" t="s">
        <v>142</v>
      </c>
      <c r="BM57">
        <v>57</v>
      </c>
      <c r="BN57">
        <v>0</v>
      </c>
      <c r="BO57" t="s">
        <v>139</v>
      </c>
      <c r="BP57">
        <v>1</v>
      </c>
      <c r="BQ57">
        <v>3</v>
      </c>
      <c r="BR57">
        <v>0</v>
      </c>
      <c r="BS57">
        <v>1</v>
      </c>
      <c r="BT57">
        <v>1</v>
      </c>
      <c r="BU57">
        <v>1</v>
      </c>
      <c r="BV57">
        <v>1</v>
      </c>
      <c r="BW57">
        <v>1</v>
      </c>
      <c r="BX57">
        <v>1</v>
      </c>
      <c r="CF57">
        <v>0</v>
      </c>
      <c r="CG57">
        <v>0</v>
      </c>
      <c r="CM57">
        <v>0</v>
      </c>
      <c r="CO57">
        <v>0</v>
      </c>
      <c r="CP57">
        <f t="shared" si="23"/>
        <v>116.00999999999999</v>
      </c>
      <c r="CQ57">
        <f t="shared" si="24"/>
        <v>121.47799999999998</v>
      </c>
      <c r="CR57">
        <f t="shared" si="25"/>
        <v>2.06</v>
      </c>
      <c r="CS57">
        <f t="shared" si="26"/>
        <v>0.24</v>
      </c>
      <c r="CT57">
        <f t="shared" si="27"/>
        <v>166.49</v>
      </c>
      <c r="CU57">
        <f t="shared" si="28"/>
        <v>0</v>
      </c>
      <c r="CV57">
        <f t="shared" si="29"/>
        <v>16.8</v>
      </c>
      <c r="CW57">
        <f t="shared" si="30"/>
        <v>0.02</v>
      </c>
      <c r="CX57">
        <f t="shared" si="31"/>
        <v>0</v>
      </c>
      <c r="CY57">
        <f t="shared" si="32"/>
        <v>63.36499999999999</v>
      </c>
      <c r="CZ57">
        <f t="shared" si="33"/>
        <v>43.35499999999999</v>
      </c>
      <c r="DN57">
        <v>0</v>
      </c>
      <c r="DO57">
        <v>0</v>
      </c>
      <c r="DP57">
        <v>1</v>
      </c>
      <c r="DQ57">
        <v>1</v>
      </c>
      <c r="DR57">
        <v>1</v>
      </c>
      <c r="DS57">
        <v>1</v>
      </c>
      <c r="DT57">
        <v>1</v>
      </c>
      <c r="DU57">
        <v>1010</v>
      </c>
      <c r="DV57" t="s">
        <v>141</v>
      </c>
      <c r="DW57" t="s">
        <v>143</v>
      </c>
      <c r="DX57">
        <v>100</v>
      </c>
      <c r="EE57">
        <v>6294949</v>
      </c>
      <c r="EF57">
        <v>3</v>
      </c>
      <c r="EG57" t="s">
        <v>15</v>
      </c>
      <c r="EH57">
        <v>0</v>
      </c>
      <c r="EJ57">
        <v>2</v>
      </c>
      <c r="EK57">
        <v>57</v>
      </c>
      <c r="EL57" t="s">
        <v>73</v>
      </c>
      <c r="EM57" t="s">
        <v>74</v>
      </c>
      <c r="ET57">
        <v>3778.81</v>
      </c>
    </row>
    <row r="58" spans="1:150" ht="12.75">
      <c r="A58">
        <v>18</v>
      </c>
      <c r="B58">
        <v>1</v>
      </c>
      <c r="D58" t="s">
        <v>145</v>
      </c>
      <c r="E58" t="s">
        <v>144</v>
      </c>
      <c r="G58" t="s">
        <v>146</v>
      </c>
      <c r="H58" t="s">
        <v>20</v>
      </c>
      <c r="I58">
        <f>I57*J58</f>
        <v>40.800000000000004</v>
      </c>
      <c r="J58">
        <v>102</v>
      </c>
      <c r="O58">
        <f t="shared" si="3"/>
        <v>3262.69</v>
      </c>
      <c r="P58">
        <f t="shared" si="4"/>
        <v>3262.69</v>
      </c>
      <c r="Q58">
        <f t="shared" si="5"/>
        <v>0</v>
      </c>
      <c r="R58">
        <f t="shared" si="6"/>
        <v>0</v>
      </c>
      <c r="S58">
        <f t="shared" si="7"/>
        <v>0</v>
      </c>
      <c r="T58">
        <f t="shared" si="8"/>
        <v>0</v>
      </c>
      <c r="U58">
        <f t="shared" si="9"/>
        <v>0</v>
      </c>
      <c r="V58">
        <f t="shared" si="10"/>
        <v>0</v>
      </c>
      <c r="W58">
        <f t="shared" si="11"/>
        <v>0</v>
      </c>
      <c r="X58">
        <f t="shared" si="12"/>
        <v>0</v>
      </c>
      <c r="Y58">
        <f t="shared" si="13"/>
        <v>0</v>
      </c>
      <c r="AA58">
        <v>0</v>
      </c>
      <c r="AB58">
        <f t="shared" si="14"/>
        <v>79.96799999999999</v>
      </c>
      <c r="AC58">
        <f t="shared" si="15"/>
        <v>79.96799999999999</v>
      </c>
      <c r="AD58">
        <f t="shared" si="16"/>
        <v>0</v>
      </c>
      <c r="AE58">
        <f t="shared" si="17"/>
        <v>0</v>
      </c>
      <c r="AF58">
        <f t="shared" si="18"/>
        <v>0</v>
      </c>
      <c r="AG58">
        <f t="shared" si="19"/>
        <v>0</v>
      </c>
      <c r="AH58">
        <f t="shared" si="20"/>
        <v>0</v>
      </c>
      <c r="AI58">
        <f t="shared" si="21"/>
        <v>0</v>
      </c>
      <c r="AJ58">
        <f t="shared" si="22"/>
        <v>0</v>
      </c>
      <c r="AK58">
        <v>57.12</v>
      </c>
      <c r="AL58" s="60">
        <f>57.12*($AL$23)</f>
        <v>79.96799999999999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95</v>
      </c>
      <c r="AU58">
        <v>65</v>
      </c>
      <c r="AV58">
        <v>1</v>
      </c>
      <c r="AW58">
        <v>1</v>
      </c>
      <c r="AX58">
        <v>1</v>
      </c>
      <c r="AY58">
        <v>1</v>
      </c>
      <c r="AZ58">
        <v>1</v>
      </c>
      <c r="BA58">
        <v>1</v>
      </c>
      <c r="BB58">
        <v>1</v>
      </c>
      <c r="BC58">
        <v>1</v>
      </c>
      <c r="BH58">
        <v>3</v>
      </c>
      <c r="BI58">
        <v>2</v>
      </c>
      <c r="BJ58" t="s">
        <v>147</v>
      </c>
      <c r="BM58">
        <v>57</v>
      </c>
      <c r="BN58">
        <v>0</v>
      </c>
      <c r="BO58" t="s">
        <v>145</v>
      </c>
      <c r="BP58">
        <v>1</v>
      </c>
      <c r="BQ58">
        <v>3</v>
      </c>
      <c r="BR58">
        <v>0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CF58">
        <v>0</v>
      </c>
      <c r="CG58">
        <v>0</v>
      </c>
      <c r="CM58">
        <v>0</v>
      </c>
      <c r="CO58">
        <v>0</v>
      </c>
      <c r="CP58">
        <f t="shared" si="23"/>
        <v>3262.69</v>
      </c>
      <c r="CQ58">
        <f t="shared" si="24"/>
        <v>79.96799999999999</v>
      </c>
      <c r="CR58">
        <f t="shared" si="25"/>
        <v>0</v>
      </c>
      <c r="CS58">
        <f t="shared" si="26"/>
        <v>0</v>
      </c>
      <c r="CT58">
        <f t="shared" si="27"/>
        <v>0</v>
      </c>
      <c r="CU58">
        <f t="shared" si="28"/>
        <v>0</v>
      </c>
      <c r="CV58">
        <f t="shared" si="29"/>
        <v>0</v>
      </c>
      <c r="CW58">
        <f t="shared" si="30"/>
        <v>0</v>
      </c>
      <c r="CX58">
        <f t="shared" si="31"/>
        <v>0</v>
      </c>
      <c r="CY58">
        <f t="shared" si="32"/>
        <v>0</v>
      </c>
      <c r="CZ58">
        <f t="shared" si="33"/>
        <v>0</v>
      </c>
      <c r="DN58">
        <v>0</v>
      </c>
      <c r="DO58">
        <v>0</v>
      </c>
      <c r="DP58">
        <v>1</v>
      </c>
      <c r="DQ58">
        <v>1</v>
      </c>
      <c r="DR58">
        <v>1</v>
      </c>
      <c r="DS58">
        <v>1</v>
      </c>
      <c r="DT58">
        <v>1</v>
      </c>
      <c r="DU58">
        <v>1010</v>
      </c>
      <c r="DV58" t="s">
        <v>20</v>
      </c>
      <c r="DW58" t="s">
        <v>20</v>
      </c>
      <c r="DX58">
        <v>1</v>
      </c>
      <c r="EE58">
        <v>6294949</v>
      </c>
      <c r="EF58">
        <v>3</v>
      </c>
      <c r="EG58" t="s">
        <v>15</v>
      </c>
      <c r="EH58">
        <v>0</v>
      </c>
      <c r="EJ58">
        <v>2</v>
      </c>
      <c r="EK58">
        <v>57</v>
      </c>
      <c r="EL58" t="s">
        <v>73</v>
      </c>
      <c r="EM58" t="s">
        <v>74</v>
      </c>
      <c r="ET58">
        <v>86228.5</v>
      </c>
    </row>
    <row r="60" spans="1:39" ht="12.75">
      <c r="A60" s="2">
        <v>51</v>
      </c>
      <c r="B60" s="2">
        <f>B24</f>
        <v>1</v>
      </c>
      <c r="C60" s="2">
        <f>A24</f>
        <v>4</v>
      </c>
      <c r="D60" s="2">
        <f>ROW(A24)</f>
        <v>24</v>
      </c>
      <c r="E60" s="2"/>
      <c r="F60" s="2" t="str">
        <f>IF(F24&lt;&gt;"",F24,"")</f>
        <v>Монтажные работы</v>
      </c>
      <c r="G60" s="2" t="str">
        <f>IF(G24&lt;&gt;"",G24,"")</f>
        <v>Монтажные работы</v>
      </c>
      <c r="H60" s="2"/>
      <c r="I60" s="2"/>
      <c r="J60" s="2"/>
      <c r="K60" s="2"/>
      <c r="L60" s="2"/>
      <c r="M60" s="2"/>
      <c r="N60" s="2"/>
      <c r="O60" s="2">
        <f aca="true" t="shared" si="34" ref="O60:Y60">ROUND(AB60,2)</f>
        <v>10531.81</v>
      </c>
      <c r="P60" s="2">
        <f t="shared" si="34"/>
        <v>8948.74</v>
      </c>
      <c r="Q60" s="2">
        <f t="shared" si="34"/>
        <v>342.21</v>
      </c>
      <c r="R60" s="2">
        <f t="shared" si="34"/>
        <v>50.64</v>
      </c>
      <c r="S60" s="2">
        <f t="shared" si="34"/>
        <v>1240.86</v>
      </c>
      <c r="T60" s="2">
        <f t="shared" si="34"/>
        <v>0</v>
      </c>
      <c r="U60" s="2">
        <f t="shared" si="34"/>
        <v>127.23</v>
      </c>
      <c r="V60" s="2">
        <f t="shared" si="34"/>
        <v>3.55</v>
      </c>
      <c r="W60" s="2">
        <f t="shared" si="34"/>
        <v>0</v>
      </c>
      <c r="X60" s="2">
        <f t="shared" si="34"/>
        <v>1073.29</v>
      </c>
      <c r="Y60" s="2">
        <f t="shared" si="34"/>
        <v>788.25</v>
      </c>
      <c r="Z60" s="2"/>
      <c r="AA60" s="2"/>
      <c r="AB60" s="2">
        <f>ROUND(SUMIF(AA28:AA58,"=0",O28:O58),2)</f>
        <v>10531.81</v>
      </c>
      <c r="AC60" s="2">
        <f>ROUND(SUMIF(AA28:AA58,"=0",P28:P58),2)</f>
        <v>8948.74</v>
      </c>
      <c r="AD60" s="2">
        <f>ROUND(SUMIF(AA28:AA58,"=0",Q28:Q58),2)</f>
        <v>342.21</v>
      </c>
      <c r="AE60" s="2">
        <f>ROUND(SUMIF(AA28:AA58,"=0",R28:R58),2)</f>
        <v>50.64</v>
      </c>
      <c r="AF60" s="2">
        <f>ROUND(SUMIF(AA28:AA58,"=0",S28:S58),2)</f>
        <v>1240.86</v>
      </c>
      <c r="AG60" s="2">
        <f>ROUND(SUMIF(AA28:AA58,"=0",T28:T58),2)</f>
        <v>0</v>
      </c>
      <c r="AH60" s="2">
        <f>ROUND(SUMIF(AA28:AA58,"=0",U28:U58),2)</f>
        <v>127.23</v>
      </c>
      <c r="AI60" s="2">
        <f>ROUND(SUMIF(AA28:AA58,"=0",V28:V58),2)</f>
        <v>3.55</v>
      </c>
      <c r="AJ60" s="2">
        <f>ROUND(SUMIF(AA28:AA58,"=0",W28:W58),2)</f>
        <v>0</v>
      </c>
      <c r="AK60" s="2">
        <f>ROUND(SUMIF(AA28:AA58,"=0",X28:X58),2)</f>
        <v>1073.29</v>
      </c>
      <c r="AL60" s="2">
        <f>ROUND(SUMIF(AA28:AA58,"=0",Y28:Y58),2)</f>
        <v>788.25</v>
      </c>
      <c r="AM60" s="2">
        <v>0</v>
      </c>
    </row>
    <row r="62" spans="1:14" ht="12.75">
      <c r="A62" s="3">
        <v>50</v>
      </c>
      <c r="B62" s="3">
        <f>IF(Source!F62&lt;&gt;0,1,0)</f>
        <v>1</v>
      </c>
      <c r="C62" s="3">
        <v>0</v>
      </c>
      <c r="D62" s="3">
        <v>1</v>
      </c>
      <c r="E62" s="3">
        <v>201</v>
      </c>
      <c r="F62" s="3">
        <f>Source!O60</f>
        <v>10531.81</v>
      </c>
      <c r="G62" s="3" t="s">
        <v>148</v>
      </c>
      <c r="H62" s="3" t="s">
        <v>149</v>
      </c>
      <c r="I62" s="3"/>
      <c r="J62" s="3"/>
      <c r="K62" s="3">
        <v>201</v>
      </c>
      <c r="L62" s="3">
        <v>1</v>
      </c>
      <c r="M62" s="3">
        <v>1</v>
      </c>
      <c r="N62" s="3" t="s">
        <v>5</v>
      </c>
    </row>
    <row r="63" spans="1:14" ht="12.75">
      <c r="A63" s="3">
        <v>50</v>
      </c>
      <c r="B63" s="3">
        <f>IF(Source!F63&lt;&gt;0,1,0)</f>
        <v>1</v>
      </c>
      <c r="C63" s="3">
        <v>0</v>
      </c>
      <c r="D63" s="3">
        <v>1</v>
      </c>
      <c r="E63" s="3">
        <v>202</v>
      </c>
      <c r="F63" s="3">
        <f>Source!P60</f>
        <v>8948.74</v>
      </c>
      <c r="G63" s="3" t="s">
        <v>150</v>
      </c>
      <c r="H63" s="3" t="s">
        <v>151</v>
      </c>
      <c r="I63" s="3"/>
      <c r="J63" s="3"/>
      <c r="K63" s="3">
        <v>202</v>
      </c>
      <c r="L63" s="3">
        <v>2</v>
      </c>
      <c r="M63" s="3">
        <v>1</v>
      </c>
      <c r="N63" s="3" t="s">
        <v>5</v>
      </c>
    </row>
    <row r="64" spans="1:14" ht="12.75">
      <c r="A64" s="3">
        <v>50</v>
      </c>
      <c r="B64" s="3">
        <f>IF(Source!F64&lt;&gt;0,1,0)</f>
        <v>1</v>
      </c>
      <c r="C64" s="3">
        <v>0</v>
      </c>
      <c r="D64" s="3">
        <v>1</v>
      </c>
      <c r="E64" s="3">
        <v>203</v>
      </c>
      <c r="F64" s="3">
        <f>Source!Q60</f>
        <v>342.21</v>
      </c>
      <c r="G64" s="3" t="s">
        <v>152</v>
      </c>
      <c r="H64" s="3" t="s">
        <v>153</v>
      </c>
      <c r="I64" s="3"/>
      <c r="J64" s="3"/>
      <c r="K64" s="3">
        <v>203</v>
      </c>
      <c r="L64" s="3">
        <v>3</v>
      </c>
      <c r="M64" s="3">
        <v>1</v>
      </c>
      <c r="N64" s="3" t="s">
        <v>5</v>
      </c>
    </row>
    <row r="65" spans="1:14" ht="12.75">
      <c r="A65" s="3">
        <v>50</v>
      </c>
      <c r="B65" s="3">
        <f>IF(Source!F65&lt;&gt;0,1,0)</f>
        <v>1</v>
      </c>
      <c r="C65" s="3">
        <v>0</v>
      </c>
      <c r="D65" s="3">
        <v>1</v>
      </c>
      <c r="E65" s="3">
        <v>204</v>
      </c>
      <c r="F65" s="3">
        <f>Source!R60</f>
        <v>50.64</v>
      </c>
      <c r="G65" s="3" t="s">
        <v>154</v>
      </c>
      <c r="H65" s="3" t="s">
        <v>155</v>
      </c>
      <c r="I65" s="3"/>
      <c r="J65" s="3"/>
      <c r="K65" s="3">
        <v>204</v>
      </c>
      <c r="L65" s="3">
        <v>4</v>
      </c>
      <c r="M65" s="3">
        <v>1</v>
      </c>
      <c r="N65" s="3" t="s">
        <v>5</v>
      </c>
    </row>
    <row r="66" spans="1:14" ht="12.75">
      <c r="A66" s="3">
        <v>50</v>
      </c>
      <c r="B66" s="3">
        <f>IF(Source!F66&lt;&gt;0,1,0)</f>
        <v>1</v>
      </c>
      <c r="C66" s="3">
        <v>0</v>
      </c>
      <c r="D66" s="3">
        <v>1</v>
      </c>
      <c r="E66" s="3">
        <v>205</v>
      </c>
      <c r="F66" s="3">
        <f>Source!S60</f>
        <v>1240.86</v>
      </c>
      <c r="G66" s="3" t="s">
        <v>156</v>
      </c>
      <c r="H66" s="3" t="s">
        <v>157</v>
      </c>
      <c r="I66" s="3"/>
      <c r="J66" s="3"/>
      <c r="K66" s="3">
        <v>205</v>
      </c>
      <c r="L66" s="3">
        <v>5</v>
      </c>
      <c r="M66" s="3">
        <v>1</v>
      </c>
      <c r="N66" s="3" t="s">
        <v>5</v>
      </c>
    </row>
    <row r="67" spans="1:14" ht="12.75">
      <c r="A67" s="3">
        <v>50</v>
      </c>
      <c r="B67" s="3">
        <f>IF(Source!F67&lt;&gt;0,1,0)</f>
        <v>0</v>
      </c>
      <c r="C67" s="3">
        <v>0</v>
      </c>
      <c r="D67" s="3">
        <v>1</v>
      </c>
      <c r="E67" s="3">
        <v>206</v>
      </c>
      <c r="F67" s="3">
        <f>Source!T60</f>
        <v>0</v>
      </c>
      <c r="G67" s="3" t="s">
        <v>158</v>
      </c>
      <c r="H67" s="3" t="s">
        <v>159</v>
      </c>
      <c r="I67" s="3"/>
      <c r="J67" s="3"/>
      <c r="K67" s="3">
        <v>206</v>
      </c>
      <c r="L67" s="3">
        <v>6</v>
      </c>
      <c r="M67" s="3">
        <v>1</v>
      </c>
      <c r="N67" s="3" t="s">
        <v>5</v>
      </c>
    </row>
    <row r="68" spans="1:14" ht="12.75">
      <c r="A68" s="3">
        <v>50</v>
      </c>
      <c r="B68" s="3">
        <f>IF(Source!F68&lt;&gt;0,1,0)</f>
        <v>1</v>
      </c>
      <c r="C68" s="3">
        <v>0</v>
      </c>
      <c r="D68" s="3">
        <v>1</v>
      </c>
      <c r="E68" s="3">
        <v>207</v>
      </c>
      <c r="F68" s="3">
        <f>Source!U60</f>
        <v>127.23</v>
      </c>
      <c r="G68" s="3" t="s">
        <v>160</v>
      </c>
      <c r="H68" s="3" t="s">
        <v>161</v>
      </c>
      <c r="I68" s="3"/>
      <c r="J68" s="3"/>
      <c r="K68" s="3">
        <v>207</v>
      </c>
      <c r="L68" s="3">
        <v>7</v>
      </c>
      <c r="M68" s="3">
        <v>1</v>
      </c>
      <c r="N68" s="3" t="s">
        <v>5</v>
      </c>
    </row>
    <row r="69" spans="1:14" ht="12.75">
      <c r="A69" s="3">
        <v>50</v>
      </c>
      <c r="B69" s="3">
        <f>IF(Source!F69&lt;&gt;0,1,0)</f>
        <v>1</v>
      </c>
      <c r="C69" s="3">
        <v>0</v>
      </c>
      <c r="D69" s="3">
        <v>1</v>
      </c>
      <c r="E69" s="3">
        <v>208</v>
      </c>
      <c r="F69" s="3">
        <f>Source!V60</f>
        <v>3.55</v>
      </c>
      <c r="G69" s="3" t="s">
        <v>162</v>
      </c>
      <c r="H69" s="3" t="s">
        <v>163</v>
      </c>
      <c r="I69" s="3"/>
      <c r="J69" s="3"/>
      <c r="K69" s="3">
        <v>208</v>
      </c>
      <c r="L69" s="3">
        <v>8</v>
      </c>
      <c r="M69" s="3">
        <v>1</v>
      </c>
      <c r="N69" s="3" t="s">
        <v>5</v>
      </c>
    </row>
    <row r="70" spans="1:14" ht="12.75">
      <c r="A70" s="3">
        <v>50</v>
      </c>
      <c r="B70" s="3">
        <f>IF(Source!F70&lt;&gt;0,1,0)</f>
        <v>0</v>
      </c>
      <c r="C70" s="3">
        <v>0</v>
      </c>
      <c r="D70" s="3">
        <v>1</v>
      </c>
      <c r="E70" s="3">
        <v>209</v>
      </c>
      <c r="F70" s="3">
        <f>Source!W60</f>
        <v>0</v>
      </c>
      <c r="G70" s="3" t="s">
        <v>164</v>
      </c>
      <c r="H70" s="3" t="s">
        <v>165</v>
      </c>
      <c r="I70" s="3"/>
      <c r="J70" s="3"/>
      <c r="K70" s="3">
        <v>209</v>
      </c>
      <c r="L70" s="3">
        <v>9</v>
      </c>
      <c r="M70" s="3">
        <v>1</v>
      </c>
      <c r="N70" s="3" t="s">
        <v>5</v>
      </c>
    </row>
    <row r="71" spans="1:14" ht="12.75">
      <c r="A71" s="3">
        <v>50</v>
      </c>
      <c r="B71" s="3">
        <f>IF(Source!F71&lt;&gt;0,1,0)</f>
        <v>1</v>
      </c>
      <c r="C71" s="3">
        <v>0</v>
      </c>
      <c r="D71" s="3">
        <v>1</v>
      </c>
      <c r="E71" s="3">
        <v>210</v>
      </c>
      <c r="F71" s="3">
        <f>Source!X60</f>
        <v>1073.29</v>
      </c>
      <c r="G71" s="3" t="s">
        <v>166</v>
      </c>
      <c r="H71" s="3" t="s">
        <v>167</v>
      </c>
      <c r="I71" s="3"/>
      <c r="J71" s="3"/>
      <c r="K71" s="3">
        <v>210</v>
      </c>
      <c r="L71" s="3">
        <v>10</v>
      </c>
      <c r="M71" s="3">
        <v>1</v>
      </c>
      <c r="N71" s="3" t="s">
        <v>5</v>
      </c>
    </row>
    <row r="72" spans="1:14" ht="12.75">
      <c r="A72" s="3">
        <v>50</v>
      </c>
      <c r="B72" s="3">
        <v>1</v>
      </c>
      <c r="C72" s="3">
        <v>0</v>
      </c>
      <c r="D72" s="3">
        <v>1</v>
      </c>
      <c r="E72" s="3">
        <v>211</v>
      </c>
      <c r="F72" s="3">
        <f>Source!Y60</f>
        <v>788.25</v>
      </c>
      <c r="G72" s="3" t="s">
        <v>168</v>
      </c>
      <c r="H72" s="3" t="s">
        <v>169</v>
      </c>
      <c r="I72" s="3"/>
      <c r="J72" s="3"/>
      <c r="K72" s="3">
        <v>211</v>
      </c>
      <c r="L72" s="3">
        <v>11</v>
      </c>
      <c r="M72" s="3">
        <v>0</v>
      </c>
      <c r="N72" s="3" t="s">
        <v>5</v>
      </c>
    </row>
    <row r="73" ht="12.75">
      <c r="G73">
        <v>0</v>
      </c>
    </row>
    <row r="74" spans="1:59" ht="12.75">
      <c r="A74" s="1">
        <v>4</v>
      </c>
      <c r="B74" s="1">
        <v>1</v>
      </c>
      <c r="C74" s="1"/>
      <c r="D74" s="1">
        <f>ROW(A90)</f>
        <v>90</v>
      </c>
      <c r="E74" s="1"/>
      <c r="F74" s="1" t="s">
        <v>170</v>
      </c>
      <c r="G74" s="1" t="s">
        <v>171</v>
      </c>
      <c r="H74" s="1"/>
      <c r="I74" s="1"/>
      <c r="J74" s="1"/>
      <c r="K74" s="1"/>
      <c r="L74" s="1"/>
      <c r="M74" s="1"/>
      <c r="N74" s="1" t="s">
        <v>5</v>
      </c>
      <c r="O74" s="1"/>
      <c r="P74" s="1"/>
      <c r="Q74" s="1"/>
      <c r="R74" s="1" t="s">
        <v>5</v>
      </c>
      <c r="S74" s="1" t="s">
        <v>5</v>
      </c>
      <c r="T74" s="1" t="s">
        <v>5</v>
      </c>
      <c r="U74" s="1" t="s">
        <v>5</v>
      </c>
      <c r="V74" s="1"/>
      <c r="W74" s="1"/>
      <c r="X74" s="1">
        <v>0</v>
      </c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>
        <v>0</v>
      </c>
      <c r="AM74" s="1"/>
      <c r="BE74" t="s">
        <v>172</v>
      </c>
      <c r="BF74">
        <v>0</v>
      </c>
      <c r="BG74">
        <v>0</v>
      </c>
    </row>
    <row r="76" spans="1:39" ht="12.75">
      <c r="A76" s="2">
        <v>52</v>
      </c>
      <c r="B76" s="2">
        <f aca="true" t="shared" si="35" ref="B76:AM76">B90</f>
        <v>1</v>
      </c>
      <c r="C76" s="2">
        <f t="shared" si="35"/>
        <v>4</v>
      </c>
      <c r="D76" s="2">
        <f t="shared" si="35"/>
        <v>74</v>
      </c>
      <c r="E76" s="2">
        <f t="shared" si="35"/>
        <v>0</v>
      </c>
      <c r="F76" s="2" t="str">
        <f t="shared" si="35"/>
        <v>Новый раздел</v>
      </c>
      <c r="G76" s="2" t="str">
        <f t="shared" si="35"/>
        <v>Щит автоматики - оборудование</v>
      </c>
      <c r="H76" s="2">
        <f t="shared" si="35"/>
        <v>0</v>
      </c>
      <c r="I76" s="2">
        <f t="shared" si="35"/>
        <v>0</v>
      </c>
      <c r="J76" s="2">
        <f t="shared" si="35"/>
        <v>0</v>
      </c>
      <c r="K76" s="2">
        <f t="shared" si="35"/>
        <v>0</v>
      </c>
      <c r="L76" s="2">
        <f t="shared" si="35"/>
        <v>0</v>
      </c>
      <c r="M76" s="2">
        <f t="shared" si="35"/>
        <v>0</v>
      </c>
      <c r="N76" s="2">
        <f t="shared" si="35"/>
        <v>0</v>
      </c>
      <c r="O76" s="2">
        <f t="shared" si="35"/>
        <v>7151.8</v>
      </c>
      <c r="P76" s="2">
        <f t="shared" si="35"/>
        <v>6567.02</v>
      </c>
      <c r="Q76" s="2">
        <f t="shared" si="35"/>
        <v>175.54</v>
      </c>
      <c r="R76" s="2">
        <f t="shared" si="35"/>
        <v>19.9</v>
      </c>
      <c r="S76" s="2">
        <f t="shared" si="35"/>
        <v>409.24</v>
      </c>
      <c r="T76" s="2">
        <f t="shared" si="35"/>
        <v>0</v>
      </c>
      <c r="U76" s="2">
        <f t="shared" si="35"/>
        <v>42.26</v>
      </c>
      <c r="V76" s="2">
        <f t="shared" si="35"/>
        <v>1.7</v>
      </c>
      <c r="W76" s="2">
        <f t="shared" si="35"/>
        <v>0</v>
      </c>
      <c r="X76" s="2">
        <f t="shared" si="35"/>
        <v>407.69</v>
      </c>
      <c r="Y76" s="2">
        <f t="shared" si="35"/>
        <v>278.94</v>
      </c>
      <c r="Z76" s="2">
        <f t="shared" si="35"/>
        <v>0</v>
      </c>
      <c r="AA76" s="2">
        <f t="shared" si="35"/>
        <v>0</v>
      </c>
      <c r="AB76" s="2">
        <f t="shared" si="35"/>
        <v>7151.8</v>
      </c>
      <c r="AC76" s="2">
        <f t="shared" si="35"/>
        <v>6567.02</v>
      </c>
      <c r="AD76" s="2">
        <f t="shared" si="35"/>
        <v>175.54</v>
      </c>
      <c r="AE76" s="2">
        <f t="shared" si="35"/>
        <v>19.9</v>
      </c>
      <c r="AF76" s="2">
        <f t="shared" si="35"/>
        <v>409.24</v>
      </c>
      <c r="AG76" s="2">
        <f t="shared" si="35"/>
        <v>0</v>
      </c>
      <c r="AH76" s="2">
        <f t="shared" si="35"/>
        <v>42.26</v>
      </c>
      <c r="AI76" s="2">
        <f t="shared" si="35"/>
        <v>1.7</v>
      </c>
      <c r="AJ76" s="2">
        <f t="shared" si="35"/>
        <v>0</v>
      </c>
      <c r="AK76" s="2">
        <f t="shared" si="35"/>
        <v>407.69</v>
      </c>
      <c r="AL76" s="2">
        <f t="shared" si="35"/>
        <v>278.94</v>
      </c>
      <c r="AM76" s="2">
        <f t="shared" si="35"/>
        <v>0</v>
      </c>
    </row>
    <row r="78" spans="1:150" ht="12.75">
      <c r="A78">
        <v>17</v>
      </c>
      <c r="B78">
        <v>1</v>
      </c>
      <c r="C78">
        <f>ROW(SmtRes!A218)</f>
        <v>218</v>
      </c>
      <c r="E78" t="s">
        <v>24</v>
      </c>
      <c r="F78" t="s">
        <v>173</v>
      </c>
      <c r="G78" t="s">
        <v>174</v>
      </c>
      <c r="H78" t="s">
        <v>20</v>
      </c>
      <c r="I78">
        <v>1</v>
      </c>
      <c r="J78">
        <v>0</v>
      </c>
      <c r="O78">
        <f aca="true" t="shared" si="36" ref="O78:O88">ROUND(CP78,2)</f>
        <v>111.18</v>
      </c>
      <c r="P78">
        <f aca="true" t="shared" si="37" ref="P78:P88">ROUND(CQ78*I78,2)</f>
        <v>87.33</v>
      </c>
      <c r="Q78">
        <f aca="true" t="shared" si="38" ref="Q78:Q88">ROUND(CR78*I78,2)</f>
        <v>1.79</v>
      </c>
      <c r="R78">
        <f aca="true" t="shared" si="39" ref="R78:R88">ROUND(CS78*I78,2)</f>
        <v>0.12</v>
      </c>
      <c r="S78">
        <f aca="true" t="shared" si="40" ref="S78:S88">ROUND(CT78*I78,2)</f>
        <v>22.06</v>
      </c>
      <c r="T78">
        <f aca="true" t="shared" si="41" ref="T78:T88">ROUND(CU78*I78,2)</f>
        <v>0</v>
      </c>
      <c r="U78">
        <f aca="true" t="shared" si="42" ref="U78:U88">ROUND(CV78*I78,2)</f>
        <v>2.32</v>
      </c>
      <c r="V78">
        <f aca="true" t="shared" si="43" ref="V78:V88">ROUND(CW78*I78,2)</f>
        <v>0.01</v>
      </c>
      <c r="W78">
        <f aca="true" t="shared" si="44" ref="W78:W88">ROUND(CX78*I78,2)</f>
        <v>0</v>
      </c>
      <c r="X78">
        <f aca="true" t="shared" si="45" ref="X78:X88">ROUND(CY78,2)</f>
        <v>21.07</v>
      </c>
      <c r="Y78">
        <f aca="true" t="shared" si="46" ref="Y78:Y88">ROUND(CZ78,2)</f>
        <v>14.42</v>
      </c>
      <c r="AA78">
        <v>0</v>
      </c>
      <c r="AB78">
        <f aca="true" t="shared" si="47" ref="AB78:AB88">(AC78+AD78+AF78)</f>
        <v>111.182</v>
      </c>
      <c r="AC78">
        <f aca="true" t="shared" si="48" ref="AC78:AC88">AL78</f>
        <v>87.332</v>
      </c>
      <c r="AD78">
        <f aca="true" t="shared" si="49" ref="AD78:AD88">AM78</f>
        <v>1.79</v>
      </c>
      <c r="AE78">
        <f aca="true" t="shared" si="50" ref="AE78:AE88">AN78</f>
        <v>0.12</v>
      </c>
      <c r="AF78">
        <f aca="true" t="shared" si="51" ref="AF78:AF88">AO78</f>
        <v>22.06</v>
      </c>
      <c r="AG78">
        <f aca="true" t="shared" si="52" ref="AG78:AG88">AP78</f>
        <v>0</v>
      </c>
      <c r="AH78">
        <f aca="true" t="shared" si="53" ref="AH78:AH88">AQ78</f>
        <v>2.32</v>
      </c>
      <c r="AI78">
        <f aca="true" t="shared" si="54" ref="AI78:AI88">AR78</f>
        <v>0.01</v>
      </c>
      <c r="AJ78">
        <f aca="true" t="shared" si="55" ref="AJ78:AJ88">AS78</f>
        <v>0</v>
      </c>
      <c r="AK78">
        <v>86.23</v>
      </c>
      <c r="AL78" s="1">
        <f>62.38*($AL$23)</f>
        <v>87.332</v>
      </c>
      <c r="AM78">
        <v>1.79</v>
      </c>
      <c r="AN78">
        <v>0.12</v>
      </c>
      <c r="AO78">
        <v>22.06</v>
      </c>
      <c r="AP78">
        <v>0</v>
      </c>
      <c r="AQ78">
        <v>2.32</v>
      </c>
      <c r="AR78">
        <v>0.01</v>
      </c>
      <c r="AS78">
        <v>0</v>
      </c>
      <c r="AT78">
        <v>95</v>
      </c>
      <c r="AU78">
        <v>65</v>
      </c>
      <c r="AV78">
        <v>1</v>
      </c>
      <c r="AW78">
        <v>1</v>
      </c>
      <c r="AX78">
        <v>1</v>
      </c>
      <c r="AY78">
        <v>1</v>
      </c>
      <c r="AZ78">
        <v>1</v>
      </c>
      <c r="BA78">
        <v>1</v>
      </c>
      <c r="BB78">
        <v>1</v>
      </c>
      <c r="BC78">
        <v>1</v>
      </c>
      <c r="BH78">
        <v>0</v>
      </c>
      <c r="BI78">
        <v>2</v>
      </c>
      <c r="BJ78" t="s">
        <v>175</v>
      </c>
      <c r="BM78">
        <v>57</v>
      </c>
      <c r="BN78">
        <v>0</v>
      </c>
      <c r="BO78" t="s">
        <v>173</v>
      </c>
      <c r="BP78">
        <v>1</v>
      </c>
      <c r="BQ78">
        <v>3</v>
      </c>
      <c r="BR78">
        <v>0</v>
      </c>
      <c r="BS78">
        <v>1</v>
      </c>
      <c r="BT78">
        <v>1</v>
      </c>
      <c r="BU78">
        <v>1</v>
      </c>
      <c r="BV78">
        <v>1</v>
      </c>
      <c r="BW78">
        <v>1</v>
      </c>
      <c r="BX78">
        <v>1</v>
      </c>
      <c r="CF78">
        <v>0</v>
      </c>
      <c r="CG78">
        <v>0</v>
      </c>
      <c r="CM78">
        <v>0</v>
      </c>
      <c r="CO78">
        <v>0</v>
      </c>
      <c r="CP78">
        <f aca="true" t="shared" si="56" ref="CP78:CP88">(P78+Q78+S78)</f>
        <v>111.18</v>
      </c>
      <c r="CQ78">
        <f aca="true" t="shared" si="57" ref="CQ78:CQ88">(AC78)*BC78</f>
        <v>87.332</v>
      </c>
      <c r="CR78">
        <f aca="true" t="shared" si="58" ref="CR78:CR88">(AD78)*BB78</f>
        <v>1.79</v>
      </c>
      <c r="CS78">
        <f aca="true" t="shared" si="59" ref="CS78:CS88">(AE78)*BS78</f>
        <v>0.12</v>
      </c>
      <c r="CT78">
        <f aca="true" t="shared" si="60" ref="CT78:CT88">(AF78)*BA78</f>
        <v>22.06</v>
      </c>
      <c r="CU78">
        <f aca="true" t="shared" si="61" ref="CU78:CU88">(AG78)*BT78</f>
        <v>0</v>
      </c>
      <c r="CV78">
        <f aca="true" t="shared" si="62" ref="CV78:CV88">(AH78)*BU78</f>
        <v>2.32</v>
      </c>
      <c r="CW78">
        <f aca="true" t="shared" si="63" ref="CW78:CW88">(AI78)*BV78</f>
        <v>0.01</v>
      </c>
      <c r="CX78">
        <f aca="true" t="shared" si="64" ref="CX78:CX88">(AJ78)*BW78</f>
        <v>0</v>
      </c>
      <c r="CY78">
        <f aca="true" t="shared" si="65" ref="CY78:CY88">(((S78+R78)*AT78)/100)</f>
        <v>21.070999999999998</v>
      </c>
      <c r="CZ78">
        <f aca="true" t="shared" si="66" ref="CZ78:CZ88">(((S78+R78)*AU78)/100)</f>
        <v>14.417</v>
      </c>
      <c r="DN78">
        <v>0</v>
      </c>
      <c r="DO78">
        <v>0</v>
      </c>
      <c r="DP78">
        <v>1</v>
      </c>
      <c r="DQ78">
        <v>1</v>
      </c>
      <c r="DR78">
        <v>1</v>
      </c>
      <c r="DS78">
        <v>1</v>
      </c>
      <c r="DT78">
        <v>1</v>
      </c>
      <c r="DU78">
        <v>1010</v>
      </c>
      <c r="DV78" t="s">
        <v>20</v>
      </c>
      <c r="DW78" t="s">
        <v>20</v>
      </c>
      <c r="DX78">
        <v>1</v>
      </c>
      <c r="EE78">
        <v>6294949</v>
      </c>
      <c r="EF78">
        <v>3</v>
      </c>
      <c r="EG78" t="s">
        <v>15</v>
      </c>
      <c r="EH78">
        <v>0</v>
      </c>
      <c r="EJ78">
        <v>2</v>
      </c>
      <c r="EK78">
        <v>57</v>
      </c>
      <c r="EL78" t="s">
        <v>73</v>
      </c>
      <c r="EM78" t="s">
        <v>74</v>
      </c>
      <c r="ET78">
        <v>3190.51</v>
      </c>
    </row>
    <row r="79" spans="1:150" ht="12.75">
      <c r="A79">
        <v>18</v>
      </c>
      <c r="B79">
        <v>1</v>
      </c>
      <c r="E79" t="s">
        <v>176</v>
      </c>
      <c r="G79" t="s">
        <v>177</v>
      </c>
      <c r="H79" t="s">
        <v>43</v>
      </c>
      <c r="I79">
        <f>I78*J79</f>
        <v>1</v>
      </c>
      <c r="J79">
        <v>1</v>
      </c>
      <c r="O79">
        <f t="shared" si="36"/>
        <v>58.04</v>
      </c>
      <c r="P79">
        <f t="shared" si="37"/>
        <v>58.04</v>
      </c>
      <c r="Q79">
        <f t="shared" si="38"/>
        <v>0</v>
      </c>
      <c r="R79">
        <f t="shared" si="39"/>
        <v>0</v>
      </c>
      <c r="S79">
        <f t="shared" si="40"/>
        <v>0</v>
      </c>
      <c r="T79">
        <f t="shared" si="41"/>
        <v>0</v>
      </c>
      <c r="U79">
        <f t="shared" si="42"/>
        <v>0</v>
      </c>
      <c r="V79">
        <f t="shared" si="43"/>
        <v>0</v>
      </c>
      <c r="W79">
        <f t="shared" si="44"/>
        <v>0</v>
      </c>
      <c r="X79">
        <f t="shared" si="45"/>
        <v>0</v>
      </c>
      <c r="Y79">
        <f t="shared" si="46"/>
        <v>0</v>
      </c>
      <c r="AA79">
        <v>0</v>
      </c>
      <c r="AB79">
        <f t="shared" si="47"/>
        <v>58.044</v>
      </c>
      <c r="AC79">
        <f t="shared" si="48"/>
        <v>58.044</v>
      </c>
      <c r="AD79">
        <f t="shared" si="49"/>
        <v>0</v>
      </c>
      <c r="AE79">
        <f t="shared" si="50"/>
        <v>0</v>
      </c>
      <c r="AF79">
        <f t="shared" si="51"/>
        <v>0</v>
      </c>
      <c r="AG79">
        <f t="shared" si="52"/>
        <v>0</v>
      </c>
      <c r="AH79">
        <f t="shared" si="53"/>
        <v>0</v>
      </c>
      <c r="AI79">
        <f t="shared" si="54"/>
        <v>0</v>
      </c>
      <c r="AJ79">
        <f t="shared" si="55"/>
        <v>0</v>
      </c>
      <c r="AK79">
        <v>41.46</v>
      </c>
      <c r="AL79" s="1">
        <f>41.46*($AL$23)</f>
        <v>58.044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95</v>
      </c>
      <c r="AU79">
        <v>65</v>
      </c>
      <c r="AV79">
        <v>1</v>
      </c>
      <c r="AW79">
        <v>1</v>
      </c>
      <c r="AX79">
        <v>1</v>
      </c>
      <c r="AY79">
        <v>1</v>
      </c>
      <c r="AZ79">
        <v>1</v>
      </c>
      <c r="BA79">
        <v>1</v>
      </c>
      <c r="BB79">
        <v>1</v>
      </c>
      <c r="BC79">
        <v>1</v>
      </c>
      <c r="BH79">
        <v>3</v>
      </c>
      <c r="BI79">
        <v>2</v>
      </c>
      <c r="BM79">
        <v>57</v>
      </c>
      <c r="BN79">
        <v>0</v>
      </c>
      <c r="BP79">
        <v>0</v>
      </c>
      <c r="BQ79">
        <v>3</v>
      </c>
      <c r="BR79">
        <v>0</v>
      </c>
      <c r="BS79">
        <v>1</v>
      </c>
      <c r="BT79">
        <v>1</v>
      </c>
      <c r="BU79">
        <v>1</v>
      </c>
      <c r="BV79">
        <v>1</v>
      </c>
      <c r="BW79">
        <v>1</v>
      </c>
      <c r="BX79">
        <v>1</v>
      </c>
      <c r="CF79">
        <v>0</v>
      </c>
      <c r="CG79">
        <v>0</v>
      </c>
      <c r="CM79">
        <v>0</v>
      </c>
      <c r="CO79">
        <v>0</v>
      </c>
      <c r="CP79">
        <f t="shared" si="56"/>
        <v>58.04</v>
      </c>
      <c r="CQ79">
        <f t="shared" si="57"/>
        <v>58.044</v>
      </c>
      <c r="CR79">
        <f t="shared" si="58"/>
        <v>0</v>
      </c>
      <c r="CS79">
        <f t="shared" si="59"/>
        <v>0</v>
      </c>
      <c r="CT79">
        <f t="shared" si="60"/>
        <v>0</v>
      </c>
      <c r="CU79">
        <f t="shared" si="61"/>
        <v>0</v>
      </c>
      <c r="CV79">
        <f t="shared" si="62"/>
        <v>0</v>
      </c>
      <c r="CW79">
        <f t="shared" si="63"/>
        <v>0</v>
      </c>
      <c r="CX79">
        <f t="shared" si="64"/>
        <v>0</v>
      </c>
      <c r="CY79">
        <f t="shared" si="65"/>
        <v>0</v>
      </c>
      <c r="CZ79">
        <f t="shared" si="66"/>
        <v>0</v>
      </c>
      <c r="DN79">
        <v>0</v>
      </c>
      <c r="DO79">
        <v>0</v>
      </c>
      <c r="DP79">
        <v>1</v>
      </c>
      <c r="DQ79">
        <v>1</v>
      </c>
      <c r="DR79">
        <v>1</v>
      </c>
      <c r="DS79">
        <v>1</v>
      </c>
      <c r="DT79">
        <v>1</v>
      </c>
      <c r="DU79">
        <v>1013</v>
      </c>
      <c r="DV79" t="s">
        <v>43</v>
      </c>
      <c r="DW79" t="s">
        <v>43</v>
      </c>
      <c r="DX79">
        <v>1</v>
      </c>
      <c r="EE79">
        <v>6294949</v>
      </c>
      <c r="EF79">
        <v>3</v>
      </c>
      <c r="EG79" t="s">
        <v>15</v>
      </c>
      <c r="EH79">
        <v>0</v>
      </c>
      <c r="EJ79">
        <v>2</v>
      </c>
      <c r="EK79">
        <v>57</v>
      </c>
      <c r="EL79" t="s">
        <v>73</v>
      </c>
      <c r="EM79" t="s">
        <v>74</v>
      </c>
      <c r="ET79">
        <v>1534.02</v>
      </c>
    </row>
    <row r="80" spans="1:150" ht="12.75">
      <c r="A80">
        <v>17</v>
      </c>
      <c r="B80">
        <v>1</v>
      </c>
      <c r="C80">
        <f>ROW(SmtRes!A233)</f>
        <v>233</v>
      </c>
      <c r="E80" t="s">
        <v>28</v>
      </c>
      <c r="F80" t="s">
        <v>178</v>
      </c>
      <c r="G80" t="s">
        <v>179</v>
      </c>
      <c r="H80" t="s">
        <v>20</v>
      </c>
      <c r="I80">
        <v>12</v>
      </c>
      <c r="J80">
        <v>0</v>
      </c>
      <c r="O80">
        <f t="shared" si="36"/>
        <v>249.46</v>
      </c>
      <c r="P80">
        <f t="shared" si="37"/>
        <v>20.5</v>
      </c>
      <c r="Q80">
        <f t="shared" si="38"/>
        <v>98.64</v>
      </c>
      <c r="R80">
        <f t="shared" si="39"/>
        <v>11.28</v>
      </c>
      <c r="S80">
        <f t="shared" si="40"/>
        <v>130.32</v>
      </c>
      <c r="T80">
        <f t="shared" si="41"/>
        <v>0</v>
      </c>
      <c r="U80">
        <f t="shared" si="42"/>
        <v>13.56</v>
      </c>
      <c r="V80">
        <f t="shared" si="43"/>
        <v>0.96</v>
      </c>
      <c r="W80">
        <f t="shared" si="44"/>
        <v>0</v>
      </c>
      <c r="X80">
        <f t="shared" si="45"/>
        <v>134.52</v>
      </c>
      <c r="Y80">
        <f t="shared" si="46"/>
        <v>92.04</v>
      </c>
      <c r="AA80">
        <v>0</v>
      </c>
      <c r="AB80">
        <f t="shared" si="47"/>
        <v>20.788</v>
      </c>
      <c r="AC80">
        <f t="shared" si="48"/>
        <v>1.708</v>
      </c>
      <c r="AD80">
        <f t="shared" si="49"/>
        <v>8.22</v>
      </c>
      <c r="AE80">
        <f t="shared" si="50"/>
        <v>0.94</v>
      </c>
      <c r="AF80">
        <f t="shared" si="51"/>
        <v>10.86</v>
      </c>
      <c r="AG80">
        <f t="shared" si="52"/>
        <v>0</v>
      </c>
      <c r="AH80">
        <f t="shared" si="53"/>
        <v>1.13</v>
      </c>
      <c r="AI80">
        <f t="shared" si="54"/>
        <v>0.08</v>
      </c>
      <c r="AJ80">
        <f t="shared" si="55"/>
        <v>0</v>
      </c>
      <c r="AK80">
        <v>20.3</v>
      </c>
      <c r="AL80" s="1">
        <f>1.22*($AL$23)</f>
        <v>1.708</v>
      </c>
      <c r="AM80">
        <v>8.22</v>
      </c>
      <c r="AN80">
        <v>0.94</v>
      </c>
      <c r="AO80">
        <v>10.86</v>
      </c>
      <c r="AP80">
        <v>0</v>
      </c>
      <c r="AQ80">
        <v>1.13</v>
      </c>
      <c r="AR80">
        <v>0.08</v>
      </c>
      <c r="AS80">
        <v>0</v>
      </c>
      <c r="AT80">
        <v>95</v>
      </c>
      <c r="AU80">
        <v>65</v>
      </c>
      <c r="AV80">
        <v>1</v>
      </c>
      <c r="AW80">
        <v>1</v>
      </c>
      <c r="AX80">
        <v>1</v>
      </c>
      <c r="AY80">
        <v>1</v>
      </c>
      <c r="AZ80">
        <v>1</v>
      </c>
      <c r="BA80">
        <v>1</v>
      </c>
      <c r="BB80">
        <v>1</v>
      </c>
      <c r="BC80">
        <v>1</v>
      </c>
      <c r="BH80">
        <v>0</v>
      </c>
      <c r="BI80">
        <v>2</v>
      </c>
      <c r="BJ80" t="s">
        <v>180</v>
      </c>
      <c r="BM80">
        <v>57</v>
      </c>
      <c r="BN80">
        <v>0</v>
      </c>
      <c r="BO80" t="s">
        <v>178</v>
      </c>
      <c r="BP80">
        <v>1</v>
      </c>
      <c r="BQ80">
        <v>3</v>
      </c>
      <c r="BR80">
        <v>0</v>
      </c>
      <c r="BS80">
        <v>1</v>
      </c>
      <c r="BT80">
        <v>1</v>
      </c>
      <c r="BU80">
        <v>1</v>
      </c>
      <c r="BV80">
        <v>1</v>
      </c>
      <c r="BW80">
        <v>1</v>
      </c>
      <c r="BX80">
        <v>1</v>
      </c>
      <c r="CF80">
        <v>0</v>
      </c>
      <c r="CG80">
        <v>0</v>
      </c>
      <c r="CM80">
        <v>0</v>
      </c>
      <c r="CO80">
        <v>0</v>
      </c>
      <c r="CP80">
        <f t="shared" si="56"/>
        <v>249.45999999999998</v>
      </c>
      <c r="CQ80">
        <f t="shared" si="57"/>
        <v>1.708</v>
      </c>
      <c r="CR80">
        <f t="shared" si="58"/>
        <v>8.22</v>
      </c>
      <c r="CS80">
        <f t="shared" si="59"/>
        <v>0.94</v>
      </c>
      <c r="CT80">
        <f t="shared" si="60"/>
        <v>10.86</v>
      </c>
      <c r="CU80">
        <f t="shared" si="61"/>
        <v>0</v>
      </c>
      <c r="CV80">
        <f t="shared" si="62"/>
        <v>1.13</v>
      </c>
      <c r="CW80">
        <f t="shared" si="63"/>
        <v>0.08</v>
      </c>
      <c r="CX80">
        <f t="shared" si="64"/>
        <v>0</v>
      </c>
      <c r="CY80">
        <f t="shared" si="65"/>
        <v>134.52</v>
      </c>
      <c r="CZ80">
        <f t="shared" si="66"/>
        <v>92.04</v>
      </c>
      <c r="DN80">
        <v>0</v>
      </c>
      <c r="DO80">
        <v>0</v>
      </c>
      <c r="DP80">
        <v>1</v>
      </c>
      <c r="DQ80">
        <v>1</v>
      </c>
      <c r="DR80">
        <v>1</v>
      </c>
      <c r="DS80">
        <v>1</v>
      </c>
      <c r="DT80">
        <v>1</v>
      </c>
      <c r="DU80">
        <v>1010</v>
      </c>
      <c r="DV80" t="s">
        <v>20</v>
      </c>
      <c r="DW80" t="s">
        <v>20</v>
      </c>
      <c r="DX80">
        <v>1</v>
      </c>
      <c r="EE80">
        <v>6294949</v>
      </c>
      <c r="EF80">
        <v>3</v>
      </c>
      <c r="EG80" t="s">
        <v>15</v>
      </c>
      <c r="EH80">
        <v>0</v>
      </c>
      <c r="EJ80">
        <v>2</v>
      </c>
      <c r="EK80">
        <v>57</v>
      </c>
      <c r="EL80" t="s">
        <v>73</v>
      </c>
      <c r="EM80" t="s">
        <v>74</v>
      </c>
      <c r="ET80">
        <v>9013.2</v>
      </c>
    </row>
    <row r="81" spans="1:150" ht="12.75">
      <c r="A81">
        <v>18</v>
      </c>
      <c r="B81">
        <v>1</v>
      </c>
      <c r="E81" t="s">
        <v>33</v>
      </c>
      <c r="G81" t="s">
        <v>181</v>
      </c>
      <c r="H81" t="s">
        <v>43</v>
      </c>
      <c r="I81">
        <f>I80*J81</f>
        <v>3.999996</v>
      </c>
      <c r="J81">
        <v>0.333333</v>
      </c>
      <c r="O81">
        <f t="shared" si="36"/>
        <v>145.49</v>
      </c>
      <c r="P81">
        <f t="shared" si="37"/>
        <v>145.49</v>
      </c>
      <c r="Q81">
        <f t="shared" si="38"/>
        <v>0</v>
      </c>
      <c r="R81">
        <f t="shared" si="39"/>
        <v>0</v>
      </c>
      <c r="S81">
        <f t="shared" si="40"/>
        <v>0</v>
      </c>
      <c r="T81">
        <f t="shared" si="41"/>
        <v>0</v>
      </c>
      <c r="U81">
        <f t="shared" si="42"/>
        <v>0</v>
      </c>
      <c r="V81">
        <f t="shared" si="43"/>
        <v>0</v>
      </c>
      <c r="W81">
        <f t="shared" si="44"/>
        <v>0</v>
      </c>
      <c r="X81">
        <f t="shared" si="45"/>
        <v>0</v>
      </c>
      <c r="Y81">
        <f t="shared" si="46"/>
        <v>0</v>
      </c>
      <c r="AA81">
        <v>0</v>
      </c>
      <c r="AB81">
        <f t="shared" si="47"/>
        <v>36.372</v>
      </c>
      <c r="AC81">
        <f t="shared" si="48"/>
        <v>36.372</v>
      </c>
      <c r="AD81">
        <f t="shared" si="49"/>
        <v>0</v>
      </c>
      <c r="AE81">
        <f t="shared" si="50"/>
        <v>0</v>
      </c>
      <c r="AF81">
        <f t="shared" si="51"/>
        <v>0</v>
      </c>
      <c r="AG81">
        <f t="shared" si="52"/>
        <v>0</v>
      </c>
      <c r="AH81">
        <f t="shared" si="53"/>
        <v>0</v>
      </c>
      <c r="AI81">
        <f t="shared" si="54"/>
        <v>0</v>
      </c>
      <c r="AJ81">
        <f t="shared" si="55"/>
        <v>0</v>
      </c>
      <c r="AK81">
        <v>25.98</v>
      </c>
      <c r="AL81" s="1">
        <f>25.98*($AL$23)</f>
        <v>36.372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95</v>
      </c>
      <c r="AU81">
        <v>65</v>
      </c>
      <c r="AV81">
        <v>1</v>
      </c>
      <c r="AW81">
        <v>1</v>
      </c>
      <c r="AX81">
        <v>1</v>
      </c>
      <c r="AY81">
        <v>1</v>
      </c>
      <c r="AZ81">
        <v>1</v>
      </c>
      <c r="BA81">
        <v>1</v>
      </c>
      <c r="BB81">
        <v>1</v>
      </c>
      <c r="BC81">
        <v>1</v>
      </c>
      <c r="BH81">
        <v>3</v>
      </c>
      <c r="BI81">
        <v>2</v>
      </c>
      <c r="BM81">
        <v>57</v>
      </c>
      <c r="BN81">
        <v>0</v>
      </c>
      <c r="BP81">
        <v>0</v>
      </c>
      <c r="BQ81">
        <v>3</v>
      </c>
      <c r="BR81">
        <v>0</v>
      </c>
      <c r="BS81">
        <v>1</v>
      </c>
      <c r="BT81">
        <v>1</v>
      </c>
      <c r="BU81">
        <v>1</v>
      </c>
      <c r="BV81">
        <v>1</v>
      </c>
      <c r="BW81">
        <v>1</v>
      </c>
      <c r="BX81">
        <v>1</v>
      </c>
      <c r="CF81">
        <v>0</v>
      </c>
      <c r="CG81">
        <v>0</v>
      </c>
      <c r="CM81">
        <v>0</v>
      </c>
      <c r="CO81">
        <v>0</v>
      </c>
      <c r="CP81">
        <f t="shared" si="56"/>
        <v>145.49</v>
      </c>
      <c r="CQ81">
        <f t="shared" si="57"/>
        <v>36.372</v>
      </c>
      <c r="CR81">
        <f t="shared" si="58"/>
        <v>0</v>
      </c>
      <c r="CS81">
        <f t="shared" si="59"/>
        <v>0</v>
      </c>
      <c r="CT81">
        <f t="shared" si="60"/>
        <v>0</v>
      </c>
      <c r="CU81">
        <f t="shared" si="61"/>
        <v>0</v>
      </c>
      <c r="CV81">
        <f t="shared" si="62"/>
        <v>0</v>
      </c>
      <c r="CW81">
        <f t="shared" si="63"/>
        <v>0</v>
      </c>
      <c r="CX81">
        <f t="shared" si="64"/>
        <v>0</v>
      </c>
      <c r="CY81">
        <f t="shared" si="65"/>
        <v>0</v>
      </c>
      <c r="CZ81">
        <f t="shared" si="66"/>
        <v>0</v>
      </c>
      <c r="DN81">
        <v>0</v>
      </c>
      <c r="DO81">
        <v>0</v>
      </c>
      <c r="DP81">
        <v>1</v>
      </c>
      <c r="DQ81">
        <v>1</v>
      </c>
      <c r="DR81">
        <v>1</v>
      </c>
      <c r="DS81">
        <v>1</v>
      </c>
      <c r="DT81">
        <v>1</v>
      </c>
      <c r="DU81">
        <v>1013</v>
      </c>
      <c r="DV81" t="s">
        <v>43</v>
      </c>
      <c r="DW81" t="s">
        <v>43</v>
      </c>
      <c r="DX81">
        <v>1</v>
      </c>
      <c r="EE81">
        <v>6294949</v>
      </c>
      <c r="EF81">
        <v>3</v>
      </c>
      <c r="EG81" t="s">
        <v>15</v>
      </c>
      <c r="EH81">
        <v>0</v>
      </c>
      <c r="EJ81">
        <v>2</v>
      </c>
      <c r="EK81">
        <v>57</v>
      </c>
      <c r="EL81" t="s">
        <v>73</v>
      </c>
      <c r="EM81" t="s">
        <v>74</v>
      </c>
      <c r="ET81">
        <v>3845.04</v>
      </c>
    </row>
    <row r="82" spans="1:150" ht="12.75">
      <c r="A82">
        <v>18</v>
      </c>
      <c r="B82">
        <v>1</v>
      </c>
      <c r="E82" t="s">
        <v>37</v>
      </c>
      <c r="G82" t="s">
        <v>182</v>
      </c>
      <c r="H82" t="s">
        <v>43</v>
      </c>
      <c r="I82">
        <f>I80*J82</f>
        <v>6.999995999999999</v>
      </c>
      <c r="J82">
        <v>0.583333</v>
      </c>
      <c r="O82">
        <f t="shared" si="36"/>
        <v>1762.63</v>
      </c>
      <c r="P82">
        <f t="shared" si="37"/>
        <v>1762.63</v>
      </c>
      <c r="Q82">
        <f t="shared" si="38"/>
        <v>0</v>
      </c>
      <c r="R82">
        <f t="shared" si="39"/>
        <v>0</v>
      </c>
      <c r="S82">
        <f t="shared" si="40"/>
        <v>0</v>
      </c>
      <c r="T82">
        <f t="shared" si="41"/>
        <v>0</v>
      </c>
      <c r="U82">
        <f t="shared" si="42"/>
        <v>0</v>
      </c>
      <c r="V82">
        <f t="shared" si="43"/>
        <v>0</v>
      </c>
      <c r="W82">
        <f t="shared" si="44"/>
        <v>0</v>
      </c>
      <c r="X82">
        <f t="shared" si="45"/>
        <v>0</v>
      </c>
      <c r="Y82">
        <f t="shared" si="46"/>
        <v>0</v>
      </c>
      <c r="AA82">
        <v>0</v>
      </c>
      <c r="AB82">
        <f t="shared" si="47"/>
        <v>251.804</v>
      </c>
      <c r="AC82">
        <f t="shared" si="48"/>
        <v>251.804</v>
      </c>
      <c r="AD82">
        <f t="shared" si="49"/>
        <v>0</v>
      </c>
      <c r="AE82">
        <f t="shared" si="50"/>
        <v>0</v>
      </c>
      <c r="AF82">
        <f t="shared" si="51"/>
        <v>0</v>
      </c>
      <c r="AG82">
        <f t="shared" si="52"/>
        <v>0</v>
      </c>
      <c r="AH82">
        <f t="shared" si="53"/>
        <v>0</v>
      </c>
      <c r="AI82">
        <f t="shared" si="54"/>
        <v>0</v>
      </c>
      <c r="AJ82">
        <f t="shared" si="55"/>
        <v>0</v>
      </c>
      <c r="AK82">
        <v>179.86</v>
      </c>
      <c r="AL82" s="1">
        <f>179.86*($AL$23)</f>
        <v>251.804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95</v>
      </c>
      <c r="AU82">
        <v>65</v>
      </c>
      <c r="AV82">
        <v>1</v>
      </c>
      <c r="AW82">
        <v>1</v>
      </c>
      <c r="AX82">
        <v>1</v>
      </c>
      <c r="AY82">
        <v>1</v>
      </c>
      <c r="AZ82">
        <v>1</v>
      </c>
      <c r="BA82">
        <v>1</v>
      </c>
      <c r="BB82">
        <v>1</v>
      </c>
      <c r="BC82">
        <v>1</v>
      </c>
      <c r="BH82">
        <v>3</v>
      </c>
      <c r="BI82">
        <v>2</v>
      </c>
      <c r="BM82">
        <v>57</v>
      </c>
      <c r="BN82">
        <v>0</v>
      </c>
      <c r="BP82">
        <v>0</v>
      </c>
      <c r="BQ82">
        <v>3</v>
      </c>
      <c r="BR82">
        <v>0</v>
      </c>
      <c r="BS82">
        <v>1</v>
      </c>
      <c r="BT82">
        <v>1</v>
      </c>
      <c r="BU82">
        <v>1</v>
      </c>
      <c r="BV82">
        <v>1</v>
      </c>
      <c r="BW82">
        <v>1</v>
      </c>
      <c r="BX82">
        <v>1</v>
      </c>
      <c r="CF82">
        <v>0</v>
      </c>
      <c r="CG82">
        <v>0</v>
      </c>
      <c r="CM82">
        <v>0</v>
      </c>
      <c r="CO82">
        <v>0</v>
      </c>
      <c r="CP82">
        <f t="shared" si="56"/>
        <v>1762.63</v>
      </c>
      <c r="CQ82">
        <f t="shared" si="57"/>
        <v>251.804</v>
      </c>
      <c r="CR82">
        <f t="shared" si="58"/>
        <v>0</v>
      </c>
      <c r="CS82">
        <f t="shared" si="59"/>
        <v>0</v>
      </c>
      <c r="CT82">
        <f t="shared" si="60"/>
        <v>0</v>
      </c>
      <c r="CU82">
        <f t="shared" si="61"/>
        <v>0</v>
      </c>
      <c r="CV82">
        <f t="shared" si="62"/>
        <v>0</v>
      </c>
      <c r="CW82">
        <f t="shared" si="63"/>
        <v>0</v>
      </c>
      <c r="CX82">
        <f t="shared" si="64"/>
        <v>0</v>
      </c>
      <c r="CY82">
        <f t="shared" si="65"/>
        <v>0</v>
      </c>
      <c r="CZ82">
        <f t="shared" si="66"/>
        <v>0</v>
      </c>
      <c r="DN82">
        <v>0</v>
      </c>
      <c r="DO82">
        <v>0</v>
      </c>
      <c r="DP82">
        <v>1</v>
      </c>
      <c r="DQ82">
        <v>1</v>
      </c>
      <c r="DR82">
        <v>1</v>
      </c>
      <c r="DS82">
        <v>1</v>
      </c>
      <c r="DT82">
        <v>1</v>
      </c>
      <c r="DU82">
        <v>1013</v>
      </c>
      <c r="DV82" t="s">
        <v>43</v>
      </c>
      <c r="DW82" t="s">
        <v>43</v>
      </c>
      <c r="DX82">
        <v>1</v>
      </c>
      <c r="EE82">
        <v>6294949</v>
      </c>
      <c r="EF82">
        <v>3</v>
      </c>
      <c r="EG82" t="s">
        <v>15</v>
      </c>
      <c r="EH82">
        <v>0</v>
      </c>
      <c r="EJ82">
        <v>2</v>
      </c>
      <c r="EK82">
        <v>57</v>
      </c>
      <c r="EL82" t="s">
        <v>73</v>
      </c>
      <c r="EM82" t="s">
        <v>74</v>
      </c>
      <c r="ET82">
        <v>46583.74</v>
      </c>
    </row>
    <row r="83" spans="1:150" ht="12.75">
      <c r="A83">
        <v>18</v>
      </c>
      <c r="B83">
        <v>1</v>
      </c>
      <c r="E83" t="s">
        <v>41</v>
      </c>
      <c r="G83" t="s">
        <v>183</v>
      </c>
      <c r="H83" t="s">
        <v>43</v>
      </c>
      <c r="I83">
        <f>I80*J83</f>
        <v>2.000004</v>
      </c>
      <c r="J83">
        <v>0.166667</v>
      </c>
      <c r="O83">
        <f t="shared" si="36"/>
        <v>895.33</v>
      </c>
      <c r="P83">
        <f t="shared" si="37"/>
        <v>895.33</v>
      </c>
      <c r="Q83">
        <f t="shared" si="38"/>
        <v>0</v>
      </c>
      <c r="R83">
        <f t="shared" si="39"/>
        <v>0</v>
      </c>
      <c r="S83">
        <f t="shared" si="40"/>
        <v>0</v>
      </c>
      <c r="T83">
        <f t="shared" si="41"/>
        <v>0</v>
      </c>
      <c r="U83">
        <f t="shared" si="42"/>
        <v>0</v>
      </c>
      <c r="V83">
        <f t="shared" si="43"/>
        <v>0</v>
      </c>
      <c r="W83">
        <f t="shared" si="44"/>
        <v>0</v>
      </c>
      <c r="X83">
        <f t="shared" si="45"/>
        <v>0</v>
      </c>
      <c r="Y83">
        <f t="shared" si="46"/>
        <v>0</v>
      </c>
      <c r="AA83">
        <v>0</v>
      </c>
      <c r="AB83">
        <f t="shared" si="47"/>
        <v>447.664</v>
      </c>
      <c r="AC83">
        <f t="shared" si="48"/>
        <v>447.664</v>
      </c>
      <c r="AD83">
        <f t="shared" si="49"/>
        <v>0</v>
      </c>
      <c r="AE83">
        <f t="shared" si="50"/>
        <v>0</v>
      </c>
      <c r="AF83">
        <f t="shared" si="51"/>
        <v>0</v>
      </c>
      <c r="AG83">
        <f t="shared" si="52"/>
        <v>0</v>
      </c>
      <c r="AH83">
        <f t="shared" si="53"/>
        <v>0</v>
      </c>
      <c r="AI83">
        <f t="shared" si="54"/>
        <v>0</v>
      </c>
      <c r="AJ83">
        <f t="shared" si="55"/>
        <v>0</v>
      </c>
      <c r="AK83">
        <v>319.76</v>
      </c>
      <c r="AL83" s="1">
        <f>319.76*($AL$23)</f>
        <v>447.664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95</v>
      </c>
      <c r="AU83">
        <v>65</v>
      </c>
      <c r="AV83">
        <v>1</v>
      </c>
      <c r="AW83">
        <v>1</v>
      </c>
      <c r="AX83">
        <v>1</v>
      </c>
      <c r="AY83">
        <v>1</v>
      </c>
      <c r="AZ83">
        <v>1</v>
      </c>
      <c r="BA83">
        <v>1</v>
      </c>
      <c r="BB83">
        <v>1</v>
      </c>
      <c r="BC83">
        <v>1</v>
      </c>
      <c r="BH83">
        <v>3</v>
      </c>
      <c r="BI83">
        <v>2</v>
      </c>
      <c r="BM83">
        <v>57</v>
      </c>
      <c r="BN83">
        <v>0</v>
      </c>
      <c r="BP83">
        <v>0</v>
      </c>
      <c r="BQ83">
        <v>3</v>
      </c>
      <c r="BR83">
        <v>0</v>
      </c>
      <c r="BS83">
        <v>1</v>
      </c>
      <c r="BT83">
        <v>1</v>
      </c>
      <c r="BU83">
        <v>1</v>
      </c>
      <c r="BV83">
        <v>1</v>
      </c>
      <c r="BW83">
        <v>1</v>
      </c>
      <c r="BX83">
        <v>1</v>
      </c>
      <c r="CF83">
        <v>0</v>
      </c>
      <c r="CG83">
        <v>0</v>
      </c>
      <c r="CM83">
        <v>0</v>
      </c>
      <c r="CO83">
        <v>0</v>
      </c>
      <c r="CP83">
        <f t="shared" si="56"/>
        <v>895.33</v>
      </c>
      <c r="CQ83">
        <f t="shared" si="57"/>
        <v>447.664</v>
      </c>
      <c r="CR83">
        <f t="shared" si="58"/>
        <v>0</v>
      </c>
      <c r="CS83">
        <f t="shared" si="59"/>
        <v>0</v>
      </c>
      <c r="CT83">
        <f t="shared" si="60"/>
        <v>0</v>
      </c>
      <c r="CU83">
        <f t="shared" si="61"/>
        <v>0</v>
      </c>
      <c r="CV83">
        <f t="shared" si="62"/>
        <v>0</v>
      </c>
      <c r="CW83">
        <f t="shared" si="63"/>
        <v>0</v>
      </c>
      <c r="CX83">
        <f t="shared" si="64"/>
        <v>0</v>
      </c>
      <c r="CY83">
        <f t="shared" si="65"/>
        <v>0</v>
      </c>
      <c r="CZ83">
        <f t="shared" si="66"/>
        <v>0</v>
      </c>
      <c r="DN83">
        <v>0</v>
      </c>
      <c r="DO83">
        <v>0</v>
      </c>
      <c r="DP83">
        <v>1</v>
      </c>
      <c r="DQ83">
        <v>1</v>
      </c>
      <c r="DR83">
        <v>1</v>
      </c>
      <c r="DS83">
        <v>1</v>
      </c>
      <c r="DT83">
        <v>1</v>
      </c>
      <c r="DU83">
        <v>1013</v>
      </c>
      <c r="DV83" t="s">
        <v>43</v>
      </c>
      <c r="DW83" t="s">
        <v>43</v>
      </c>
      <c r="DX83">
        <v>1</v>
      </c>
      <c r="EE83">
        <v>6294949</v>
      </c>
      <c r="EF83">
        <v>3</v>
      </c>
      <c r="EG83" t="s">
        <v>15</v>
      </c>
      <c r="EH83">
        <v>0</v>
      </c>
      <c r="EJ83">
        <v>2</v>
      </c>
      <c r="EK83">
        <v>57</v>
      </c>
      <c r="EL83" t="s">
        <v>73</v>
      </c>
      <c r="EM83" t="s">
        <v>74</v>
      </c>
      <c r="ET83">
        <v>23662.24</v>
      </c>
    </row>
    <row r="84" spans="1:150" ht="12.75">
      <c r="A84">
        <v>17</v>
      </c>
      <c r="B84">
        <v>1</v>
      </c>
      <c r="C84">
        <f>ROW(SmtRes!A253)</f>
        <v>253</v>
      </c>
      <c r="E84" t="s">
        <v>48</v>
      </c>
      <c r="F84" t="s">
        <v>184</v>
      </c>
      <c r="G84" t="s">
        <v>185</v>
      </c>
      <c r="H84" t="s">
        <v>20</v>
      </c>
      <c r="I84">
        <v>2</v>
      </c>
      <c r="J84">
        <v>0</v>
      </c>
      <c r="O84">
        <f t="shared" si="36"/>
        <v>78.66</v>
      </c>
      <c r="P84">
        <f t="shared" si="37"/>
        <v>41.78</v>
      </c>
      <c r="Q84">
        <f t="shared" si="38"/>
        <v>2.4</v>
      </c>
      <c r="R84">
        <f t="shared" si="39"/>
        <v>0.2</v>
      </c>
      <c r="S84">
        <f t="shared" si="40"/>
        <v>34.48</v>
      </c>
      <c r="T84">
        <f t="shared" si="41"/>
        <v>0</v>
      </c>
      <c r="U84">
        <f t="shared" si="42"/>
        <v>3.24</v>
      </c>
      <c r="V84">
        <f t="shared" si="43"/>
        <v>0.02</v>
      </c>
      <c r="W84">
        <f t="shared" si="44"/>
        <v>0</v>
      </c>
      <c r="X84">
        <f t="shared" si="45"/>
        <v>32.95</v>
      </c>
      <c r="Y84">
        <f t="shared" si="46"/>
        <v>22.54</v>
      </c>
      <c r="AA84">
        <v>0</v>
      </c>
      <c r="AB84">
        <f t="shared" si="47"/>
        <v>39.327999999999996</v>
      </c>
      <c r="AC84">
        <f t="shared" si="48"/>
        <v>20.887999999999998</v>
      </c>
      <c r="AD84">
        <f t="shared" si="49"/>
        <v>1.2</v>
      </c>
      <c r="AE84">
        <f t="shared" si="50"/>
        <v>0.1</v>
      </c>
      <c r="AF84">
        <f t="shared" si="51"/>
        <v>17.24</v>
      </c>
      <c r="AG84">
        <f t="shared" si="52"/>
        <v>0</v>
      </c>
      <c r="AH84">
        <f t="shared" si="53"/>
        <v>1.62</v>
      </c>
      <c r="AI84">
        <f t="shared" si="54"/>
        <v>0.008</v>
      </c>
      <c r="AJ84">
        <f t="shared" si="55"/>
        <v>0</v>
      </c>
      <c r="AK84">
        <v>33.36</v>
      </c>
      <c r="AL84" s="1">
        <f>14.92*($AL$23)</f>
        <v>20.887999999999998</v>
      </c>
      <c r="AM84">
        <v>1.2</v>
      </c>
      <c r="AN84">
        <v>0.1</v>
      </c>
      <c r="AO84">
        <v>17.24</v>
      </c>
      <c r="AP84">
        <v>0</v>
      </c>
      <c r="AQ84">
        <v>1.62</v>
      </c>
      <c r="AR84">
        <v>0.008</v>
      </c>
      <c r="AS84">
        <v>0</v>
      </c>
      <c r="AT84">
        <v>95</v>
      </c>
      <c r="AU84">
        <v>65</v>
      </c>
      <c r="AV84">
        <v>1</v>
      </c>
      <c r="AW84">
        <v>1</v>
      </c>
      <c r="AX84">
        <v>1</v>
      </c>
      <c r="AY84">
        <v>1</v>
      </c>
      <c r="AZ84">
        <v>1</v>
      </c>
      <c r="BA84">
        <v>1</v>
      </c>
      <c r="BB84">
        <v>1</v>
      </c>
      <c r="BC84">
        <v>1</v>
      </c>
      <c r="BH84">
        <v>0</v>
      </c>
      <c r="BI84">
        <v>2</v>
      </c>
      <c r="BJ84" t="s">
        <v>186</v>
      </c>
      <c r="BM84">
        <v>57</v>
      </c>
      <c r="BN84">
        <v>0</v>
      </c>
      <c r="BO84" t="s">
        <v>184</v>
      </c>
      <c r="BP84">
        <v>1</v>
      </c>
      <c r="BQ84">
        <v>3</v>
      </c>
      <c r="BR84">
        <v>0</v>
      </c>
      <c r="BS84">
        <v>1</v>
      </c>
      <c r="BT84">
        <v>1</v>
      </c>
      <c r="BU84">
        <v>1</v>
      </c>
      <c r="BV84">
        <v>1</v>
      </c>
      <c r="BW84">
        <v>1</v>
      </c>
      <c r="BX84">
        <v>1</v>
      </c>
      <c r="CF84">
        <v>0</v>
      </c>
      <c r="CG84">
        <v>0</v>
      </c>
      <c r="CM84">
        <v>0</v>
      </c>
      <c r="CO84">
        <v>0</v>
      </c>
      <c r="CP84">
        <f t="shared" si="56"/>
        <v>78.66</v>
      </c>
      <c r="CQ84">
        <f t="shared" si="57"/>
        <v>20.887999999999998</v>
      </c>
      <c r="CR84">
        <f t="shared" si="58"/>
        <v>1.2</v>
      </c>
      <c r="CS84">
        <f t="shared" si="59"/>
        <v>0.1</v>
      </c>
      <c r="CT84">
        <f t="shared" si="60"/>
        <v>17.24</v>
      </c>
      <c r="CU84">
        <f t="shared" si="61"/>
        <v>0</v>
      </c>
      <c r="CV84">
        <f t="shared" si="62"/>
        <v>1.62</v>
      </c>
      <c r="CW84">
        <f t="shared" si="63"/>
        <v>0.008</v>
      </c>
      <c r="CX84">
        <f t="shared" si="64"/>
        <v>0</v>
      </c>
      <c r="CY84">
        <f t="shared" si="65"/>
        <v>32.946</v>
      </c>
      <c r="CZ84">
        <f t="shared" si="66"/>
        <v>22.541999999999998</v>
      </c>
      <c r="DN84">
        <v>0</v>
      </c>
      <c r="DO84">
        <v>0</v>
      </c>
      <c r="DP84">
        <v>1</v>
      </c>
      <c r="DQ84">
        <v>1</v>
      </c>
      <c r="DR84">
        <v>1</v>
      </c>
      <c r="DS84">
        <v>1</v>
      </c>
      <c r="DT84">
        <v>1</v>
      </c>
      <c r="DU84">
        <v>1010</v>
      </c>
      <c r="DV84" t="s">
        <v>20</v>
      </c>
      <c r="DW84" t="s">
        <v>20</v>
      </c>
      <c r="DX84">
        <v>1</v>
      </c>
      <c r="EE84">
        <v>6294949</v>
      </c>
      <c r="EF84">
        <v>3</v>
      </c>
      <c r="EG84" t="s">
        <v>15</v>
      </c>
      <c r="EH84">
        <v>0</v>
      </c>
      <c r="EJ84">
        <v>2</v>
      </c>
      <c r="EK84">
        <v>57</v>
      </c>
      <c r="EL84" t="s">
        <v>73</v>
      </c>
      <c r="EM84" t="s">
        <v>74</v>
      </c>
      <c r="ET84">
        <v>2468.64</v>
      </c>
    </row>
    <row r="85" spans="1:150" ht="12.75">
      <c r="A85">
        <v>18</v>
      </c>
      <c r="B85">
        <v>1</v>
      </c>
      <c r="E85" t="s">
        <v>187</v>
      </c>
      <c r="G85" t="s">
        <v>188</v>
      </c>
      <c r="H85" t="s">
        <v>43</v>
      </c>
      <c r="I85">
        <f>I84*J85</f>
        <v>1</v>
      </c>
      <c r="J85">
        <v>0.5</v>
      </c>
      <c r="O85">
        <f t="shared" si="36"/>
        <v>167.87</v>
      </c>
      <c r="P85">
        <f t="shared" si="37"/>
        <v>167.87</v>
      </c>
      <c r="Q85">
        <f t="shared" si="38"/>
        <v>0</v>
      </c>
      <c r="R85">
        <f t="shared" si="39"/>
        <v>0</v>
      </c>
      <c r="S85">
        <f t="shared" si="40"/>
        <v>0</v>
      </c>
      <c r="T85">
        <f t="shared" si="41"/>
        <v>0</v>
      </c>
      <c r="U85">
        <f t="shared" si="42"/>
        <v>0</v>
      </c>
      <c r="V85">
        <f t="shared" si="43"/>
        <v>0</v>
      </c>
      <c r="W85">
        <f t="shared" si="44"/>
        <v>0</v>
      </c>
      <c r="X85">
        <f t="shared" si="45"/>
        <v>0</v>
      </c>
      <c r="Y85">
        <f t="shared" si="46"/>
        <v>0</v>
      </c>
      <c r="AA85">
        <v>0</v>
      </c>
      <c r="AB85">
        <f t="shared" si="47"/>
        <v>167.874</v>
      </c>
      <c r="AC85">
        <f t="shared" si="48"/>
        <v>167.874</v>
      </c>
      <c r="AD85">
        <f t="shared" si="49"/>
        <v>0</v>
      </c>
      <c r="AE85">
        <f t="shared" si="50"/>
        <v>0</v>
      </c>
      <c r="AF85">
        <f t="shared" si="51"/>
        <v>0</v>
      </c>
      <c r="AG85">
        <f t="shared" si="52"/>
        <v>0</v>
      </c>
      <c r="AH85">
        <f t="shared" si="53"/>
        <v>0</v>
      </c>
      <c r="AI85">
        <f t="shared" si="54"/>
        <v>0</v>
      </c>
      <c r="AJ85">
        <f t="shared" si="55"/>
        <v>0</v>
      </c>
      <c r="AK85">
        <v>119.91</v>
      </c>
      <c r="AL85" s="1">
        <f>119.91*($AL$23)</f>
        <v>167.874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95</v>
      </c>
      <c r="AU85">
        <v>65</v>
      </c>
      <c r="AV85">
        <v>1</v>
      </c>
      <c r="AW85">
        <v>1</v>
      </c>
      <c r="AX85">
        <v>1</v>
      </c>
      <c r="AY85">
        <v>1</v>
      </c>
      <c r="AZ85">
        <v>1</v>
      </c>
      <c r="BA85">
        <v>1</v>
      </c>
      <c r="BB85">
        <v>1</v>
      </c>
      <c r="BC85">
        <v>1</v>
      </c>
      <c r="BH85">
        <v>3</v>
      </c>
      <c r="BI85">
        <v>2</v>
      </c>
      <c r="BM85">
        <v>57</v>
      </c>
      <c r="BN85">
        <v>0</v>
      </c>
      <c r="BP85">
        <v>0</v>
      </c>
      <c r="BQ85">
        <v>3</v>
      </c>
      <c r="BR85">
        <v>0</v>
      </c>
      <c r="BS85">
        <v>1</v>
      </c>
      <c r="BT85">
        <v>1</v>
      </c>
      <c r="BU85">
        <v>1</v>
      </c>
      <c r="BV85">
        <v>1</v>
      </c>
      <c r="BW85">
        <v>1</v>
      </c>
      <c r="BX85">
        <v>1</v>
      </c>
      <c r="CF85">
        <v>0</v>
      </c>
      <c r="CG85">
        <v>0</v>
      </c>
      <c r="CM85">
        <v>0</v>
      </c>
      <c r="CO85">
        <v>0</v>
      </c>
      <c r="CP85">
        <f t="shared" si="56"/>
        <v>167.87</v>
      </c>
      <c r="CQ85">
        <f t="shared" si="57"/>
        <v>167.874</v>
      </c>
      <c r="CR85">
        <f t="shared" si="58"/>
        <v>0</v>
      </c>
      <c r="CS85">
        <f t="shared" si="59"/>
        <v>0</v>
      </c>
      <c r="CT85">
        <f t="shared" si="60"/>
        <v>0</v>
      </c>
      <c r="CU85">
        <f t="shared" si="61"/>
        <v>0</v>
      </c>
      <c r="CV85">
        <f t="shared" si="62"/>
        <v>0</v>
      </c>
      <c r="CW85">
        <f t="shared" si="63"/>
        <v>0</v>
      </c>
      <c r="CX85">
        <f t="shared" si="64"/>
        <v>0</v>
      </c>
      <c r="CY85">
        <f t="shared" si="65"/>
        <v>0</v>
      </c>
      <c r="CZ85">
        <f t="shared" si="66"/>
        <v>0</v>
      </c>
      <c r="DN85">
        <v>0</v>
      </c>
      <c r="DO85">
        <v>0</v>
      </c>
      <c r="DP85">
        <v>1</v>
      </c>
      <c r="DQ85">
        <v>1</v>
      </c>
      <c r="DR85">
        <v>1</v>
      </c>
      <c r="DS85">
        <v>1</v>
      </c>
      <c r="DT85">
        <v>1</v>
      </c>
      <c r="DU85">
        <v>1013</v>
      </c>
      <c r="DV85" t="s">
        <v>43</v>
      </c>
      <c r="DW85" t="s">
        <v>43</v>
      </c>
      <c r="DX85">
        <v>1</v>
      </c>
      <c r="EE85">
        <v>6294949</v>
      </c>
      <c r="EF85">
        <v>3</v>
      </c>
      <c r="EG85" t="s">
        <v>15</v>
      </c>
      <c r="EH85">
        <v>0</v>
      </c>
      <c r="EJ85">
        <v>2</v>
      </c>
      <c r="EK85">
        <v>57</v>
      </c>
      <c r="EL85" t="s">
        <v>73</v>
      </c>
      <c r="EM85" t="s">
        <v>74</v>
      </c>
      <c r="ET85">
        <v>4436.67</v>
      </c>
    </row>
    <row r="86" spans="1:150" ht="12.75">
      <c r="A86">
        <v>18</v>
      </c>
      <c r="B86">
        <v>1</v>
      </c>
      <c r="E86" t="s">
        <v>189</v>
      </c>
      <c r="G86" t="s">
        <v>190</v>
      </c>
      <c r="H86" t="s">
        <v>43</v>
      </c>
      <c r="I86">
        <f>I84*J86</f>
        <v>1</v>
      </c>
      <c r="J86">
        <v>0.5</v>
      </c>
      <c r="O86">
        <f t="shared" si="36"/>
        <v>66.04</v>
      </c>
      <c r="P86">
        <f t="shared" si="37"/>
        <v>66.04</v>
      </c>
      <c r="Q86">
        <f t="shared" si="38"/>
        <v>0</v>
      </c>
      <c r="R86">
        <f t="shared" si="39"/>
        <v>0</v>
      </c>
      <c r="S86">
        <f t="shared" si="40"/>
        <v>0</v>
      </c>
      <c r="T86">
        <f t="shared" si="41"/>
        <v>0</v>
      </c>
      <c r="U86">
        <f t="shared" si="42"/>
        <v>0</v>
      </c>
      <c r="V86">
        <f t="shared" si="43"/>
        <v>0</v>
      </c>
      <c r="W86">
        <f t="shared" si="44"/>
        <v>0</v>
      </c>
      <c r="X86">
        <f t="shared" si="45"/>
        <v>0</v>
      </c>
      <c r="Y86">
        <f t="shared" si="46"/>
        <v>0</v>
      </c>
      <c r="AA86">
        <v>0</v>
      </c>
      <c r="AB86">
        <f t="shared" si="47"/>
        <v>66.038</v>
      </c>
      <c r="AC86">
        <f t="shared" si="48"/>
        <v>66.038</v>
      </c>
      <c r="AD86">
        <f t="shared" si="49"/>
        <v>0</v>
      </c>
      <c r="AE86">
        <f t="shared" si="50"/>
        <v>0</v>
      </c>
      <c r="AF86">
        <f t="shared" si="51"/>
        <v>0</v>
      </c>
      <c r="AG86">
        <f t="shared" si="52"/>
        <v>0</v>
      </c>
      <c r="AH86">
        <f t="shared" si="53"/>
        <v>0</v>
      </c>
      <c r="AI86">
        <f t="shared" si="54"/>
        <v>0</v>
      </c>
      <c r="AJ86">
        <f t="shared" si="55"/>
        <v>0</v>
      </c>
      <c r="AK86">
        <v>47.17</v>
      </c>
      <c r="AL86" s="1">
        <f>47.17*($AL$23)</f>
        <v>66.038</v>
      </c>
      <c r="AM86">
        <v>0</v>
      </c>
      <c r="AN86">
        <v>0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95</v>
      </c>
      <c r="AU86">
        <v>65</v>
      </c>
      <c r="AV86">
        <v>1</v>
      </c>
      <c r="AW86">
        <v>1</v>
      </c>
      <c r="AX86">
        <v>1</v>
      </c>
      <c r="AY86">
        <v>1</v>
      </c>
      <c r="AZ86">
        <v>1</v>
      </c>
      <c r="BA86">
        <v>1</v>
      </c>
      <c r="BB86">
        <v>1</v>
      </c>
      <c r="BC86">
        <v>1</v>
      </c>
      <c r="BH86">
        <v>3</v>
      </c>
      <c r="BI86">
        <v>2</v>
      </c>
      <c r="BM86">
        <v>57</v>
      </c>
      <c r="BN86">
        <v>0</v>
      </c>
      <c r="BP86">
        <v>0</v>
      </c>
      <c r="BQ86">
        <v>3</v>
      </c>
      <c r="BR86">
        <v>0</v>
      </c>
      <c r="BS86">
        <v>1</v>
      </c>
      <c r="BT86">
        <v>1</v>
      </c>
      <c r="BU86">
        <v>1</v>
      </c>
      <c r="BV86">
        <v>1</v>
      </c>
      <c r="BW86">
        <v>1</v>
      </c>
      <c r="BX86">
        <v>1</v>
      </c>
      <c r="CF86">
        <v>0</v>
      </c>
      <c r="CG86">
        <v>0</v>
      </c>
      <c r="CM86">
        <v>0</v>
      </c>
      <c r="CO86">
        <v>0</v>
      </c>
      <c r="CP86">
        <f t="shared" si="56"/>
        <v>66.04</v>
      </c>
      <c r="CQ86">
        <f t="shared" si="57"/>
        <v>66.038</v>
      </c>
      <c r="CR86">
        <f t="shared" si="58"/>
        <v>0</v>
      </c>
      <c r="CS86">
        <f t="shared" si="59"/>
        <v>0</v>
      </c>
      <c r="CT86">
        <f t="shared" si="60"/>
        <v>0</v>
      </c>
      <c r="CU86">
        <f t="shared" si="61"/>
        <v>0</v>
      </c>
      <c r="CV86">
        <f t="shared" si="62"/>
        <v>0</v>
      </c>
      <c r="CW86">
        <f t="shared" si="63"/>
        <v>0</v>
      </c>
      <c r="CX86">
        <f t="shared" si="64"/>
        <v>0</v>
      </c>
      <c r="CY86">
        <f t="shared" si="65"/>
        <v>0</v>
      </c>
      <c r="CZ86">
        <f t="shared" si="66"/>
        <v>0</v>
      </c>
      <c r="DN86">
        <v>0</v>
      </c>
      <c r="DO86">
        <v>0</v>
      </c>
      <c r="DP86">
        <v>1</v>
      </c>
      <c r="DQ86">
        <v>1</v>
      </c>
      <c r="DR86">
        <v>1</v>
      </c>
      <c r="DS86">
        <v>1</v>
      </c>
      <c r="DT86">
        <v>1</v>
      </c>
      <c r="DU86">
        <v>1013</v>
      </c>
      <c r="DV86" t="s">
        <v>43</v>
      </c>
      <c r="DW86" t="s">
        <v>43</v>
      </c>
      <c r="DX86">
        <v>1</v>
      </c>
      <c r="EE86">
        <v>6294949</v>
      </c>
      <c r="EF86">
        <v>3</v>
      </c>
      <c r="EG86" t="s">
        <v>15</v>
      </c>
      <c r="EH86">
        <v>0</v>
      </c>
      <c r="EJ86">
        <v>2</v>
      </c>
      <c r="EK86">
        <v>57</v>
      </c>
      <c r="EL86" t="s">
        <v>73</v>
      </c>
      <c r="EM86" t="s">
        <v>74</v>
      </c>
      <c r="ET86">
        <v>1745.29</v>
      </c>
    </row>
    <row r="87" spans="1:150" ht="12.75">
      <c r="A87">
        <v>17</v>
      </c>
      <c r="B87">
        <v>1</v>
      </c>
      <c r="C87">
        <f>ROW(SmtRes!A260)</f>
        <v>260</v>
      </c>
      <c r="E87" t="s">
        <v>52</v>
      </c>
      <c r="F87" t="s">
        <v>178</v>
      </c>
      <c r="G87" t="s">
        <v>179</v>
      </c>
      <c r="H87" t="s">
        <v>20</v>
      </c>
      <c r="I87">
        <v>8</v>
      </c>
      <c r="J87">
        <v>0</v>
      </c>
      <c r="O87">
        <f t="shared" si="36"/>
        <v>166.3</v>
      </c>
      <c r="P87">
        <f t="shared" si="37"/>
        <v>13.66</v>
      </c>
      <c r="Q87">
        <f t="shared" si="38"/>
        <v>65.76</v>
      </c>
      <c r="R87">
        <f t="shared" si="39"/>
        <v>7.52</v>
      </c>
      <c r="S87">
        <f t="shared" si="40"/>
        <v>86.88</v>
      </c>
      <c r="T87">
        <f t="shared" si="41"/>
        <v>0</v>
      </c>
      <c r="U87">
        <f t="shared" si="42"/>
        <v>9.04</v>
      </c>
      <c r="V87">
        <f t="shared" si="43"/>
        <v>0.64</v>
      </c>
      <c r="W87">
        <f t="shared" si="44"/>
        <v>0</v>
      </c>
      <c r="X87">
        <f t="shared" si="45"/>
        <v>89.68</v>
      </c>
      <c r="Y87">
        <f t="shared" si="46"/>
        <v>61.36</v>
      </c>
      <c r="AA87">
        <v>0</v>
      </c>
      <c r="AB87">
        <f t="shared" si="47"/>
        <v>20.788</v>
      </c>
      <c r="AC87">
        <f t="shared" si="48"/>
        <v>1.708</v>
      </c>
      <c r="AD87">
        <f t="shared" si="49"/>
        <v>8.22</v>
      </c>
      <c r="AE87">
        <f t="shared" si="50"/>
        <v>0.94</v>
      </c>
      <c r="AF87">
        <f t="shared" si="51"/>
        <v>10.86</v>
      </c>
      <c r="AG87">
        <f t="shared" si="52"/>
        <v>0</v>
      </c>
      <c r="AH87">
        <f t="shared" si="53"/>
        <v>1.13</v>
      </c>
      <c r="AI87">
        <f t="shared" si="54"/>
        <v>0.08</v>
      </c>
      <c r="AJ87">
        <f t="shared" si="55"/>
        <v>0</v>
      </c>
      <c r="AK87">
        <v>20.3</v>
      </c>
      <c r="AL87" s="1">
        <f>1.22*($AL$23)</f>
        <v>1.708</v>
      </c>
      <c r="AM87">
        <v>8.22</v>
      </c>
      <c r="AN87">
        <v>0.94</v>
      </c>
      <c r="AO87">
        <v>10.86</v>
      </c>
      <c r="AP87">
        <v>0</v>
      </c>
      <c r="AQ87">
        <v>1.13</v>
      </c>
      <c r="AR87">
        <v>0.08</v>
      </c>
      <c r="AS87">
        <v>0</v>
      </c>
      <c r="AT87">
        <v>95</v>
      </c>
      <c r="AU87">
        <v>65</v>
      </c>
      <c r="AV87">
        <v>1</v>
      </c>
      <c r="AW87">
        <v>1</v>
      </c>
      <c r="AX87">
        <v>1</v>
      </c>
      <c r="AY87">
        <v>1</v>
      </c>
      <c r="AZ87">
        <v>1</v>
      </c>
      <c r="BA87">
        <v>1</v>
      </c>
      <c r="BB87">
        <v>1</v>
      </c>
      <c r="BC87">
        <v>1</v>
      </c>
      <c r="BH87">
        <v>0</v>
      </c>
      <c r="BI87">
        <v>2</v>
      </c>
      <c r="BJ87" t="s">
        <v>180</v>
      </c>
      <c r="BM87">
        <v>57</v>
      </c>
      <c r="BN87">
        <v>0</v>
      </c>
      <c r="BO87" t="s">
        <v>178</v>
      </c>
      <c r="BP87">
        <v>1</v>
      </c>
      <c r="BQ87">
        <v>3</v>
      </c>
      <c r="BR87">
        <v>0</v>
      </c>
      <c r="BS87">
        <v>1</v>
      </c>
      <c r="BT87">
        <v>1</v>
      </c>
      <c r="BU87">
        <v>1</v>
      </c>
      <c r="BV87">
        <v>1</v>
      </c>
      <c r="BW87">
        <v>1</v>
      </c>
      <c r="BX87">
        <v>1</v>
      </c>
      <c r="CF87">
        <v>0</v>
      </c>
      <c r="CG87">
        <v>0</v>
      </c>
      <c r="CM87">
        <v>0</v>
      </c>
      <c r="CO87">
        <v>0</v>
      </c>
      <c r="CP87">
        <f t="shared" si="56"/>
        <v>166.3</v>
      </c>
      <c r="CQ87">
        <f t="shared" si="57"/>
        <v>1.708</v>
      </c>
      <c r="CR87">
        <f t="shared" si="58"/>
        <v>8.22</v>
      </c>
      <c r="CS87">
        <f t="shared" si="59"/>
        <v>0.94</v>
      </c>
      <c r="CT87">
        <f t="shared" si="60"/>
        <v>10.86</v>
      </c>
      <c r="CU87">
        <f t="shared" si="61"/>
        <v>0</v>
      </c>
      <c r="CV87">
        <f t="shared" si="62"/>
        <v>1.13</v>
      </c>
      <c r="CW87">
        <f t="shared" si="63"/>
        <v>0.08</v>
      </c>
      <c r="CX87">
        <f t="shared" si="64"/>
        <v>0</v>
      </c>
      <c r="CY87">
        <f t="shared" si="65"/>
        <v>89.68</v>
      </c>
      <c r="CZ87">
        <f t="shared" si="66"/>
        <v>61.35999999999999</v>
      </c>
      <c r="DN87">
        <v>0</v>
      </c>
      <c r="DO87">
        <v>0</v>
      </c>
      <c r="DP87">
        <v>1</v>
      </c>
      <c r="DQ87">
        <v>1</v>
      </c>
      <c r="DR87">
        <v>1</v>
      </c>
      <c r="DS87">
        <v>1</v>
      </c>
      <c r="DT87">
        <v>1</v>
      </c>
      <c r="DU87">
        <v>1010</v>
      </c>
      <c r="DV87" t="s">
        <v>20</v>
      </c>
      <c r="DW87" t="s">
        <v>20</v>
      </c>
      <c r="DX87">
        <v>1</v>
      </c>
      <c r="EE87">
        <v>6294949</v>
      </c>
      <c r="EF87">
        <v>3</v>
      </c>
      <c r="EG87" t="s">
        <v>15</v>
      </c>
      <c r="EH87">
        <v>0</v>
      </c>
      <c r="EJ87">
        <v>2</v>
      </c>
      <c r="EK87">
        <v>57</v>
      </c>
      <c r="EL87" t="s">
        <v>73</v>
      </c>
      <c r="EM87" t="s">
        <v>74</v>
      </c>
      <c r="ET87">
        <v>6008.8</v>
      </c>
    </row>
    <row r="88" spans="1:150" ht="12.75">
      <c r="A88">
        <v>17</v>
      </c>
      <c r="B88">
        <v>1</v>
      </c>
      <c r="C88">
        <f>ROW(SmtRes!A269)</f>
        <v>269</v>
      </c>
      <c r="E88" t="s">
        <v>57</v>
      </c>
      <c r="F88" t="s">
        <v>191</v>
      </c>
      <c r="G88" t="s">
        <v>192</v>
      </c>
      <c r="H88" t="s">
        <v>141</v>
      </c>
      <c r="I88">
        <v>0.3</v>
      </c>
      <c r="J88">
        <v>0</v>
      </c>
      <c r="O88">
        <f t="shared" si="36"/>
        <v>3450.8</v>
      </c>
      <c r="P88">
        <f t="shared" si="37"/>
        <v>3308.35</v>
      </c>
      <c r="Q88">
        <f t="shared" si="38"/>
        <v>6.95</v>
      </c>
      <c r="R88">
        <f t="shared" si="39"/>
        <v>0.78</v>
      </c>
      <c r="S88">
        <f t="shared" si="40"/>
        <v>135.5</v>
      </c>
      <c r="T88">
        <f t="shared" si="41"/>
        <v>0</v>
      </c>
      <c r="U88">
        <f t="shared" si="42"/>
        <v>14.1</v>
      </c>
      <c r="V88">
        <f t="shared" si="43"/>
        <v>0.07</v>
      </c>
      <c r="W88">
        <f t="shared" si="44"/>
        <v>0</v>
      </c>
      <c r="X88">
        <f t="shared" si="45"/>
        <v>129.47</v>
      </c>
      <c r="Y88">
        <f t="shared" si="46"/>
        <v>88.58</v>
      </c>
      <c r="AA88">
        <v>0</v>
      </c>
      <c r="AB88">
        <f t="shared" si="47"/>
        <v>11502.681999999999</v>
      </c>
      <c r="AC88">
        <f t="shared" si="48"/>
        <v>11027.841999999999</v>
      </c>
      <c r="AD88">
        <f t="shared" si="49"/>
        <v>23.17</v>
      </c>
      <c r="AE88">
        <f t="shared" si="50"/>
        <v>2.6</v>
      </c>
      <c r="AF88">
        <f t="shared" si="51"/>
        <v>451.67</v>
      </c>
      <c r="AG88">
        <f t="shared" si="52"/>
        <v>0</v>
      </c>
      <c r="AH88">
        <f t="shared" si="53"/>
        <v>47</v>
      </c>
      <c r="AI88">
        <f t="shared" si="54"/>
        <v>0.22</v>
      </c>
      <c r="AJ88">
        <f t="shared" si="55"/>
        <v>0</v>
      </c>
      <c r="AK88">
        <v>8351.87</v>
      </c>
      <c r="AL88" s="1">
        <f>7877.03*($AL$23)</f>
        <v>11027.841999999999</v>
      </c>
      <c r="AM88">
        <v>23.17</v>
      </c>
      <c r="AN88">
        <v>2.6</v>
      </c>
      <c r="AO88">
        <v>451.67</v>
      </c>
      <c r="AP88">
        <v>0</v>
      </c>
      <c r="AQ88">
        <v>47</v>
      </c>
      <c r="AR88">
        <v>0.22</v>
      </c>
      <c r="AS88">
        <v>0</v>
      </c>
      <c r="AT88">
        <v>95</v>
      </c>
      <c r="AU88">
        <v>65</v>
      </c>
      <c r="AV88">
        <v>1</v>
      </c>
      <c r="AW88">
        <v>1</v>
      </c>
      <c r="AX88">
        <v>1</v>
      </c>
      <c r="AY88">
        <v>1</v>
      </c>
      <c r="AZ88">
        <v>1</v>
      </c>
      <c r="BA88">
        <v>1</v>
      </c>
      <c r="BB88">
        <v>1</v>
      </c>
      <c r="BC88">
        <v>1</v>
      </c>
      <c r="BH88">
        <v>0</v>
      </c>
      <c r="BI88">
        <v>2</v>
      </c>
      <c r="BJ88" t="s">
        <v>193</v>
      </c>
      <c r="BM88">
        <v>57</v>
      </c>
      <c r="BN88">
        <v>0</v>
      </c>
      <c r="BO88" t="s">
        <v>191</v>
      </c>
      <c r="BP88">
        <v>1</v>
      </c>
      <c r="BQ88">
        <v>3</v>
      </c>
      <c r="BR88">
        <v>0</v>
      </c>
      <c r="BS88">
        <v>1</v>
      </c>
      <c r="BT88">
        <v>1</v>
      </c>
      <c r="BU88">
        <v>1</v>
      </c>
      <c r="BV88">
        <v>1</v>
      </c>
      <c r="BW88">
        <v>1</v>
      </c>
      <c r="BX88">
        <v>1</v>
      </c>
      <c r="CF88">
        <v>0</v>
      </c>
      <c r="CG88">
        <v>0</v>
      </c>
      <c r="CM88">
        <v>0</v>
      </c>
      <c r="CO88">
        <v>0</v>
      </c>
      <c r="CP88">
        <f t="shared" si="56"/>
        <v>3450.7999999999997</v>
      </c>
      <c r="CQ88">
        <f t="shared" si="57"/>
        <v>11027.841999999999</v>
      </c>
      <c r="CR88">
        <f t="shared" si="58"/>
        <v>23.17</v>
      </c>
      <c r="CS88">
        <f t="shared" si="59"/>
        <v>2.6</v>
      </c>
      <c r="CT88">
        <f t="shared" si="60"/>
        <v>451.67</v>
      </c>
      <c r="CU88">
        <f t="shared" si="61"/>
        <v>0</v>
      </c>
      <c r="CV88">
        <f t="shared" si="62"/>
        <v>47</v>
      </c>
      <c r="CW88">
        <f t="shared" si="63"/>
        <v>0.22</v>
      </c>
      <c r="CX88">
        <f t="shared" si="64"/>
        <v>0</v>
      </c>
      <c r="CY88">
        <f t="shared" si="65"/>
        <v>129.466</v>
      </c>
      <c r="CZ88">
        <f t="shared" si="66"/>
        <v>88.58200000000001</v>
      </c>
      <c r="DN88">
        <v>0</v>
      </c>
      <c r="DO88">
        <v>0</v>
      </c>
      <c r="DP88">
        <v>1</v>
      </c>
      <c r="DQ88">
        <v>1</v>
      </c>
      <c r="DR88">
        <v>1</v>
      </c>
      <c r="DS88">
        <v>1</v>
      </c>
      <c r="DT88">
        <v>1</v>
      </c>
      <c r="DU88">
        <v>1010</v>
      </c>
      <c r="DV88" t="s">
        <v>141</v>
      </c>
      <c r="DW88" t="s">
        <v>141</v>
      </c>
      <c r="DX88">
        <v>100</v>
      </c>
      <c r="EE88">
        <v>6294949</v>
      </c>
      <c r="EF88">
        <v>3</v>
      </c>
      <c r="EG88" t="s">
        <v>15</v>
      </c>
      <c r="EH88">
        <v>0</v>
      </c>
      <c r="EJ88">
        <v>2</v>
      </c>
      <c r="EK88">
        <v>57</v>
      </c>
      <c r="EL88" t="s">
        <v>73</v>
      </c>
      <c r="EM88" t="s">
        <v>74</v>
      </c>
      <c r="ET88">
        <v>92705.72</v>
      </c>
    </row>
    <row r="90" spans="1:39" ht="12.75">
      <c r="A90" s="2">
        <v>51</v>
      </c>
      <c r="B90" s="2">
        <f>B74</f>
        <v>1</v>
      </c>
      <c r="C90" s="2">
        <f>A74</f>
        <v>4</v>
      </c>
      <c r="D90" s="2">
        <f>ROW(A74)</f>
        <v>74</v>
      </c>
      <c r="E90" s="2"/>
      <c r="F90" s="2" t="str">
        <f>IF(F74&lt;&gt;"",F74,"")</f>
        <v>Новый раздел</v>
      </c>
      <c r="G90" s="2" t="str">
        <f>IF(G74&lt;&gt;"",G74,"")</f>
        <v>Щит автоматики - оборудование</v>
      </c>
      <c r="H90" s="2"/>
      <c r="I90" s="2"/>
      <c r="J90" s="2"/>
      <c r="K90" s="2"/>
      <c r="L90" s="2"/>
      <c r="M90" s="2"/>
      <c r="N90" s="2"/>
      <c r="O90" s="2">
        <f aca="true" t="shared" si="67" ref="O90:Y90">ROUND(AB90,2)</f>
        <v>7151.8</v>
      </c>
      <c r="P90" s="2">
        <f t="shared" si="67"/>
        <v>6567.02</v>
      </c>
      <c r="Q90" s="2">
        <f t="shared" si="67"/>
        <v>175.54</v>
      </c>
      <c r="R90" s="2">
        <f t="shared" si="67"/>
        <v>19.9</v>
      </c>
      <c r="S90" s="2">
        <f t="shared" si="67"/>
        <v>409.24</v>
      </c>
      <c r="T90" s="2">
        <f t="shared" si="67"/>
        <v>0</v>
      </c>
      <c r="U90" s="2">
        <f t="shared" si="67"/>
        <v>42.26</v>
      </c>
      <c r="V90" s="2">
        <f t="shared" si="67"/>
        <v>1.7</v>
      </c>
      <c r="W90" s="2">
        <f t="shared" si="67"/>
        <v>0</v>
      </c>
      <c r="X90" s="2">
        <f t="shared" si="67"/>
        <v>407.69</v>
      </c>
      <c r="Y90" s="2">
        <f t="shared" si="67"/>
        <v>278.94</v>
      </c>
      <c r="Z90" s="2"/>
      <c r="AA90" s="2"/>
      <c r="AB90" s="2">
        <f>ROUND(SUMIF(AA78:AA88,"=0",O78:O88),2)</f>
        <v>7151.8</v>
      </c>
      <c r="AC90" s="2">
        <f>ROUND(SUMIF(AA78:AA88,"=0",P78:P88),2)</f>
        <v>6567.02</v>
      </c>
      <c r="AD90" s="2">
        <f>ROUND(SUMIF(AA78:AA88,"=0",Q78:Q88),2)</f>
        <v>175.54</v>
      </c>
      <c r="AE90" s="2">
        <f>ROUND(SUMIF(AA78:AA88,"=0",R78:R88),2)</f>
        <v>19.9</v>
      </c>
      <c r="AF90" s="2">
        <f>ROUND(SUMIF(AA78:AA88,"=0",S78:S88),2)</f>
        <v>409.24</v>
      </c>
      <c r="AG90" s="2">
        <f>ROUND(SUMIF(AA78:AA88,"=0",T78:T88),2)</f>
        <v>0</v>
      </c>
      <c r="AH90" s="2">
        <f>ROUND(SUMIF(AA78:AA88,"=0",U78:U88),2)</f>
        <v>42.26</v>
      </c>
      <c r="AI90" s="2">
        <f>ROUND(SUMIF(AA78:AA88,"=0",V78:V88),2)</f>
        <v>1.7</v>
      </c>
      <c r="AJ90" s="2">
        <f>ROUND(SUMIF(AA78:AA88,"=0",W78:W88),2)</f>
        <v>0</v>
      </c>
      <c r="AK90" s="2">
        <f>ROUND(SUMIF(AA78:AA88,"=0",X78:X88),2)</f>
        <v>407.69</v>
      </c>
      <c r="AL90" s="2">
        <f>ROUND(SUMIF(AA78:AA88,"=0",Y78:Y88),2)</f>
        <v>278.94</v>
      </c>
      <c r="AM90" s="2">
        <v>0</v>
      </c>
    </row>
    <row r="92" spans="1:14" ht="12.75">
      <c r="A92" s="3">
        <v>50</v>
      </c>
      <c r="B92" s="3">
        <f>IF(Source!F92&lt;&gt;0,1,0)</f>
        <v>1</v>
      </c>
      <c r="C92" s="3">
        <v>0</v>
      </c>
      <c r="D92" s="3">
        <v>1</v>
      </c>
      <c r="E92" s="3">
        <v>201</v>
      </c>
      <c r="F92" s="3">
        <f>Source!O90</f>
        <v>7151.8</v>
      </c>
      <c r="G92" s="3" t="s">
        <v>148</v>
      </c>
      <c r="H92" s="3" t="s">
        <v>149</v>
      </c>
      <c r="I92" s="3"/>
      <c r="J92" s="3"/>
      <c r="K92" s="3">
        <v>201</v>
      </c>
      <c r="L92" s="3">
        <v>1</v>
      </c>
      <c r="M92" s="3">
        <v>1</v>
      </c>
      <c r="N92" s="3" t="s">
        <v>5</v>
      </c>
    </row>
    <row r="93" spans="1:14" ht="12.75">
      <c r="A93" s="3">
        <v>50</v>
      </c>
      <c r="B93" s="3">
        <f>IF(Source!F93&lt;&gt;0,1,0)</f>
        <v>1</v>
      </c>
      <c r="C93" s="3">
        <v>0</v>
      </c>
      <c r="D93" s="3">
        <v>1</v>
      </c>
      <c r="E93" s="3">
        <v>202</v>
      </c>
      <c r="F93" s="3">
        <f>Source!P90</f>
        <v>6567.02</v>
      </c>
      <c r="G93" s="3" t="s">
        <v>150</v>
      </c>
      <c r="H93" s="3" t="s">
        <v>151</v>
      </c>
      <c r="I93" s="3"/>
      <c r="J93" s="3"/>
      <c r="K93" s="3">
        <v>202</v>
      </c>
      <c r="L93" s="3">
        <v>2</v>
      </c>
      <c r="M93" s="3">
        <v>1</v>
      </c>
      <c r="N93" s="3" t="s">
        <v>5</v>
      </c>
    </row>
    <row r="94" spans="1:14" ht="12.75">
      <c r="A94" s="3">
        <v>50</v>
      </c>
      <c r="B94" s="3">
        <f>IF(Source!F94&lt;&gt;0,1,0)</f>
        <v>1</v>
      </c>
      <c r="C94" s="3">
        <v>0</v>
      </c>
      <c r="D94" s="3">
        <v>1</v>
      </c>
      <c r="E94" s="3">
        <v>203</v>
      </c>
      <c r="F94" s="3">
        <f>Source!Q90</f>
        <v>175.54</v>
      </c>
      <c r="G94" s="3" t="s">
        <v>152</v>
      </c>
      <c r="H94" s="3" t="s">
        <v>153</v>
      </c>
      <c r="I94" s="3"/>
      <c r="J94" s="3"/>
      <c r="K94" s="3">
        <v>203</v>
      </c>
      <c r="L94" s="3">
        <v>3</v>
      </c>
      <c r="M94" s="3">
        <v>1</v>
      </c>
      <c r="N94" s="3" t="s">
        <v>5</v>
      </c>
    </row>
    <row r="95" spans="1:14" ht="12.75">
      <c r="A95" s="3">
        <v>50</v>
      </c>
      <c r="B95" s="3">
        <f>IF(Source!F95&lt;&gt;0,1,0)</f>
        <v>1</v>
      </c>
      <c r="C95" s="3">
        <v>0</v>
      </c>
      <c r="D95" s="3">
        <v>1</v>
      </c>
      <c r="E95" s="3">
        <v>204</v>
      </c>
      <c r="F95" s="3">
        <f>Source!R90</f>
        <v>19.9</v>
      </c>
      <c r="G95" s="3" t="s">
        <v>154</v>
      </c>
      <c r="H95" s="3" t="s">
        <v>155</v>
      </c>
      <c r="I95" s="3"/>
      <c r="J95" s="3"/>
      <c r="K95" s="3">
        <v>204</v>
      </c>
      <c r="L95" s="3">
        <v>4</v>
      </c>
      <c r="M95" s="3">
        <v>1</v>
      </c>
      <c r="N95" s="3" t="s">
        <v>5</v>
      </c>
    </row>
    <row r="96" spans="1:14" ht="12.75">
      <c r="A96" s="3">
        <v>50</v>
      </c>
      <c r="B96" s="3">
        <f>IF(Source!F96&lt;&gt;0,1,0)</f>
        <v>1</v>
      </c>
      <c r="C96" s="3">
        <v>0</v>
      </c>
      <c r="D96" s="3">
        <v>1</v>
      </c>
      <c r="E96" s="3">
        <v>205</v>
      </c>
      <c r="F96" s="3">
        <f>Source!S90</f>
        <v>409.24</v>
      </c>
      <c r="G96" s="3" t="s">
        <v>156</v>
      </c>
      <c r="H96" s="3" t="s">
        <v>157</v>
      </c>
      <c r="I96" s="3"/>
      <c r="J96" s="3"/>
      <c r="K96" s="3">
        <v>205</v>
      </c>
      <c r="L96" s="3">
        <v>5</v>
      </c>
      <c r="M96" s="3">
        <v>1</v>
      </c>
      <c r="N96" s="3" t="s">
        <v>5</v>
      </c>
    </row>
    <row r="97" spans="1:14" ht="12.75">
      <c r="A97" s="3">
        <v>50</v>
      </c>
      <c r="B97" s="3">
        <f>IF(Source!F97&lt;&gt;0,1,0)</f>
        <v>0</v>
      </c>
      <c r="C97" s="3">
        <v>0</v>
      </c>
      <c r="D97" s="3">
        <v>1</v>
      </c>
      <c r="E97" s="3">
        <v>206</v>
      </c>
      <c r="F97" s="3">
        <f>Source!T90</f>
        <v>0</v>
      </c>
      <c r="G97" s="3" t="s">
        <v>158</v>
      </c>
      <c r="H97" s="3" t="s">
        <v>159</v>
      </c>
      <c r="I97" s="3"/>
      <c r="J97" s="3"/>
      <c r="K97" s="3">
        <v>206</v>
      </c>
      <c r="L97" s="3">
        <v>6</v>
      </c>
      <c r="M97" s="3">
        <v>1</v>
      </c>
      <c r="N97" s="3" t="s">
        <v>5</v>
      </c>
    </row>
    <row r="98" spans="1:14" ht="12.75">
      <c r="A98" s="3">
        <v>50</v>
      </c>
      <c r="B98" s="3">
        <f>IF(Source!F98&lt;&gt;0,1,0)</f>
        <v>1</v>
      </c>
      <c r="C98" s="3">
        <v>0</v>
      </c>
      <c r="D98" s="3">
        <v>1</v>
      </c>
      <c r="E98" s="3">
        <v>207</v>
      </c>
      <c r="F98" s="3">
        <f>Source!U90</f>
        <v>42.26</v>
      </c>
      <c r="G98" s="3" t="s">
        <v>160</v>
      </c>
      <c r="H98" s="3" t="s">
        <v>161</v>
      </c>
      <c r="I98" s="3"/>
      <c r="J98" s="3"/>
      <c r="K98" s="3">
        <v>207</v>
      </c>
      <c r="L98" s="3">
        <v>7</v>
      </c>
      <c r="M98" s="3">
        <v>1</v>
      </c>
      <c r="N98" s="3" t="s">
        <v>5</v>
      </c>
    </row>
    <row r="99" spans="1:14" ht="12.75">
      <c r="A99" s="3">
        <v>50</v>
      </c>
      <c r="B99" s="3">
        <f>IF(Source!F99&lt;&gt;0,1,0)</f>
        <v>1</v>
      </c>
      <c r="C99" s="3">
        <v>0</v>
      </c>
      <c r="D99" s="3">
        <v>1</v>
      </c>
      <c r="E99" s="3">
        <v>208</v>
      </c>
      <c r="F99" s="3">
        <f>Source!V90</f>
        <v>1.7</v>
      </c>
      <c r="G99" s="3" t="s">
        <v>162</v>
      </c>
      <c r="H99" s="3" t="s">
        <v>163</v>
      </c>
      <c r="I99" s="3"/>
      <c r="J99" s="3"/>
      <c r="K99" s="3">
        <v>208</v>
      </c>
      <c r="L99" s="3">
        <v>8</v>
      </c>
      <c r="M99" s="3">
        <v>1</v>
      </c>
      <c r="N99" s="3" t="s">
        <v>5</v>
      </c>
    </row>
    <row r="100" spans="1:14" ht="12.75">
      <c r="A100" s="3">
        <v>50</v>
      </c>
      <c r="B100" s="3">
        <f>IF(Source!F100&lt;&gt;0,1,0)</f>
        <v>0</v>
      </c>
      <c r="C100" s="3">
        <v>0</v>
      </c>
      <c r="D100" s="3">
        <v>1</v>
      </c>
      <c r="E100" s="3">
        <v>209</v>
      </c>
      <c r="F100" s="3">
        <f>Source!W90</f>
        <v>0</v>
      </c>
      <c r="G100" s="3" t="s">
        <v>164</v>
      </c>
      <c r="H100" s="3" t="s">
        <v>165</v>
      </c>
      <c r="I100" s="3"/>
      <c r="J100" s="3"/>
      <c r="K100" s="3">
        <v>209</v>
      </c>
      <c r="L100" s="3">
        <v>9</v>
      </c>
      <c r="M100" s="3">
        <v>1</v>
      </c>
      <c r="N100" s="3" t="s">
        <v>5</v>
      </c>
    </row>
    <row r="101" spans="1:14" ht="12.75">
      <c r="A101" s="3">
        <v>50</v>
      </c>
      <c r="B101" s="3">
        <f>IF(Source!F101&lt;&gt;0,1,0)</f>
        <v>1</v>
      </c>
      <c r="C101" s="3">
        <v>0</v>
      </c>
      <c r="D101" s="3">
        <v>1</v>
      </c>
      <c r="E101" s="3">
        <v>210</v>
      </c>
      <c r="F101" s="3">
        <f>Source!X90</f>
        <v>407.69</v>
      </c>
      <c r="G101" s="3" t="s">
        <v>166</v>
      </c>
      <c r="H101" s="3" t="s">
        <v>167</v>
      </c>
      <c r="I101" s="3"/>
      <c r="J101" s="3"/>
      <c r="K101" s="3">
        <v>210</v>
      </c>
      <c r="L101" s="3">
        <v>10</v>
      </c>
      <c r="M101" s="3">
        <v>1</v>
      </c>
      <c r="N101" s="3" t="s">
        <v>5</v>
      </c>
    </row>
    <row r="102" spans="1:14" ht="12.75">
      <c r="A102" s="3">
        <v>50</v>
      </c>
      <c r="B102" s="3">
        <v>1</v>
      </c>
      <c r="C102" s="3">
        <v>0</v>
      </c>
      <c r="D102" s="3">
        <v>1</v>
      </c>
      <c r="E102" s="3">
        <v>211</v>
      </c>
      <c r="F102" s="3">
        <f>Source!Y90</f>
        <v>278.94</v>
      </c>
      <c r="G102" s="3" t="s">
        <v>168</v>
      </c>
      <c r="H102" s="3" t="s">
        <v>169</v>
      </c>
      <c r="I102" s="3"/>
      <c r="J102" s="3"/>
      <c r="K102" s="3">
        <v>211</v>
      </c>
      <c r="L102" s="3">
        <v>11</v>
      </c>
      <c r="M102" s="3">
        <v>0</v>
      </c>
      <c r="N102" s="3" t="s">
        <v>5</v>
      </c>
    </row>
    <row r="103" ht="12.75">
      <c r="G103">
        <v>0</v>
      </c>
    </row>
    <row r="104" spans="1:59" ht="12.75">
      <c r="A104" s="1">
        <v>4</v>
      </c>
      <c r="B104" s="1">
        <v>1</v>
      </c>
      <c r="C104" s="1"/>
      <c r="D104" s="1">
        <f>ROW(A117)</f>
        <v>117</v>
      </c>
      <c r="E104" s="1"/>
      <c r="F104" s="1" t="s">
        <v>170</v>
      </c>
      <c r="G104" s="1" t="s">
        <v>194</v>
      </c>
      <c r="H104" s="1"/>
      <c r="I104" s="1"/>
      <c r="J104" s="1"/>
      <c r="K104" s="1"/>
      <c r="L104" s="1"/>
      <c r="M104" s="1"/>
      <c r="N104" s="1" t="s">
        <v>5</v>
      </c>
      <c r="O104" s="1"/>
      <c r="P104" s="1"/>
      <c r="Q104" s="1"/>
      <c r="R104" s="1" t="s">
        <v>5</v>
      </c>
      <c r="S104" s="1" t="s">
        <v>5</v>
      </c>
      <c r="T104" s="1" t="s">
        <v>5</v>
      </c>
      <c r="U104" s="1" t="s">
        <v>5</v>
      </c>
      <c r="V104" s="1"/>
      <c r="W104" s="1"/>
      <c r="X104" s="1">
        <v>0</v>
      </c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>
        <v>0</v>
      </c>
      <c r="AM104" s="1"/>
      <c r="BE104" t="s">
        <v>195</v>
      </c>
      <c r="BF104">
        <v>0</v>
      </c>
      <c r="BG104">
        <v>0</v>
      </c>
    </row>
    <row r="106" spans="1:39" ht="12.75">
      <c r="A106" s="2">
        <v>52</v>
      </c>
      <c r="B106" s="2">
        <f aca="true" t="shared" si="68" ref="B106:AM106">B117</f>
        <v>1</v>
      </c>
      <c r="C106" s="2">
        <f t="shared" si="68"/>
        <v>4</v>
      </c>
      <c r="D106" s="2">
        <f t="shared" si="68"/>
        <v>104</v>
      </c>
      <c r="E106" s="2">
        <f t="shared" si="68"/>
        <v>0</v>
      </c>
      <c r="F106" s="2" t="str">
        <f t="shared" si="68"/>
        <v>Новый раздел</v>
      </c>
      <c r="G106" s="2" t="str">
        <f t="shared" si="68"/>
        <v>Пост сигнализации</v>
      </c>
      <c r="H106" s="2">
        <f t="shared" si="68"/>
        <v>0</v>
      </c>
      <c r="I106" s="2">
        <f t="shared" si="68"/>
        <v>0</v>
      </c>
      <c r="J106" s="2">
        <f t="shared" si="68"/>
        <v>0</v>
      </c>
      <c r="K106" s="2">
        <f t="shared" si="68"/>
        <v>0</v>
      </c>
      <c r="L106" s="2">
        <f t="shared" si="68"/>
        <v>0</v>
      </c>
      <c r="M106" s="2">
        <f t="shared" si="68"/>
        <v>0</v>
      </c>
      <c r="N106" s="2">
        <f t="shared" si="68"/>
        <v>0</v>
      </c>
      <c r="O106" s="2">
        <f t="shared" si="68"/>
        <v>3473.82</v>
      </c>
      <c r="P106" s="2">
        <f t="shared" si="68"/>
        <v>3323.57</v>
      </c>
      <c r="Q106" s="2">
        <f t="shared" si="68"/>
        <v>31.1</v>
      </c>
      <c r="R106" s="2">
        <f t="shared" si="68"/>
        <v>2.5</v>
      </c>
      <c r="S106" s="2">
        <f t="shared" si="68"/>
        <v>119.15</v>
      </c>
      <c r="T106" s="2">
        <f t="shared" si="68"/>
        <v>0</v>
      </c>
      <c r="U106" s="2">
        <f t="shared" si="68"/>
        <v>12.65</v>
      </c>
      <c r="V106" s="2">
        <f t="shared" si="68"/>
        <v>0.22</v>
      </c>
      <c r="W106" s="2">
        <f t="shared" si="68"/>
        <v>0</v>
      </c>
      <c r="X106" s="2">
        <f t="shared" si="68"/>
        <v>115.51</v>
      </c>
      <c r="Y106" s="2">
        <f t="shared" si="68"/>
        <v>79.07</v>
      </c>
      <c r="Z106" s="2">
        <f t="shared" si="68"/>
        <v>0</v>
      </c>
      <c r="AA106" s="2">
        <f t="shared" si="68"/>
        <v>0</v>
      </c>
      <c r="AB106" s="2">
        <f t="shared" si="68"/>
        <v>3473.82</v>
      </c>
      <c r="AC106" s="2">
        <f t="shared" si="68"/>
        <v>3323.57</v>
      </c>
      <c r="AD106" s="2">
        <f t="shared" si="68"/>
        <v>31.1</v>
      </c>
      <c r="AE106" s="2">
        <f t="shared" si="68"/>
        <v>2.5</v>
      </c>
      <c r="AF106" s="2">
        <f t="shared" si="68"/>
        <v>119.15</v>
      </c>
      <c r="AG106" s="2">
        <f t="shared" si="68"/>
        <v>0</v>
      </c>
      <c r="AH106" s="2">
        <f t="shared" si="68"/>
        <v>12.65</v>
      </c>
      <c r="AI106" s="2">
        <f t="shared" si="68"/>
        <v>0.22</v>
      </c>
      <c r="AJ106" s="2">
        <f t="shared" si="68"/>
        <v>0</v>
      </c>
      <c r="AK106" s="2">
        <f t="shared" si="68"/>
        <v>115.51</v>
      </c>
      <c r="AL106" s="2">
        <f t="shared" si="68"/>
        <v>79.07</v>
      </c>
      <c r="AM106" s="2">
        <f t="shared" si="68"/>
        <v>0</v>
      </c>
    </row>
    <row r="108" spans="1:150" ht="12.75">
      <c r="A108">
        <v>17</v>
      </c>
      <c r="B108">
        <v>1</v>
      </c>
      <c r="C108">
        <f>ROW(SmtRes!A284)</f>
        <v>284</v>
      </c>
      <c r="E108" t="s">
        <v>17</v>
      </c>
      <c r="F108" t="s">
        <v>97</v>
      </c>
      <c r="G108" t="s">
        <v>98</v>
      </c>
      <c r="H108" t="s">
        <v>60</v>
      </c>
      <c r="I108">
        <v>0.25</v>
      </c>
      <c r="J108">
        <v>0</v>
      </c>
      <c r="O108">
        <f aca="true" t="shared" si="69" ref="O108:O115">ROUND(CP108,2)</f>
        <v>148.44</v>
      </c>
      <c r="P108">
        <f aca="true" t="shared" si="70" ref="P108:P115">ROUND(CQ108*I108,2)</f>
        <v>36.64</v>
      </c>
      <c r="Q108">
        <f aca="true" t="shared" si="71" ref="Q108:Q115">ROUND(CR108*I108,2)</f>
        <v>21.89</v>
      </c>
      <c r="R108">
        <f aca="true" t="shared" si="72" ref="R108:R115">ROUND(CS108*I108,2)</f>
        <v>1.48</v>
      </c>
      <c r="S108">
        <f aca="true" t="shared" si="73" ref="S108:S115">ROUND(CT108*I108,2)</f>
        <v>89.91</v>
      </c>
      <c r="T108">
        <f aca="true" t="shared" si="74" ref="T108:T115">ROUND(CU108*I108,2)</f>
        <v>0</v>
      </c>
      <c r="U108">
        <f aca="true" t="shared" si="75" ref="U108:U115">ROUND(CV108*I108,2)</f>
        <v>9.58</v>
      </c>
      <c r="V108">
        <f aca="true" t="shared" si="76" ref="V108:V115">ROUND(CW108*I108,2)</f>
        <v>0.13</v>
      </c>
      <c r="W108">
        <f aca="true" t="shared" si="77" ref="W108:W115">ROUND(CX108*I108,2)</f>
        <v>0</v>
      </c>
      <c r="X108">
        <f aca="true" t="shared" si="78" ref="X108:Y115">ROUND(CY108,2)</f>
        <v>86.82</v>
      </c>
      <c r="Y108">
        <f t="shared" si="78"/>
        <v>59.4</v>
      </c>
      <c r="AA108">
        <v>0</v>
      </c>
      <c r="AB108">
        <f aca="true" t="shared" si="79" ref="AB108:AB115">(AC108+AD108+AF108)</f>
        <v>593.762</v>
      </c>
      <c r="AC108">
        <f aca="true" t="shared" si="80" ref="AC108:AJ115">AL108</f>
        <v>146.552</v>
      </c>
      <c r="AD108">
        <f t="shared" si="80"/>
        <v>87.57</v>
      </c>
      <c r="AE108">
        <f t="shared" si="80"/>
        <v>5.9</v>
      </c>
      <c r="AF108">
        <f t="shared" si="80"/>
        <v>359.64</v>
      </c>
      <c r="AG108">
        <f t="shared" si="80"/>
        <v>0</v>
      </c>
      <c r="AH108">
        <f t="shared" si="80"/>
        <v>38.3</v>
      </c>
      <c r="AI108">
        <f t="shared" si="80"/>
        <v>0.5</v>
      </c>
      <c r="AJ108">
        <f t="shared" si="80"/>
        <v>0</v>
      </c>
      <c r="AK108">
        <v>551.89</v>
      </c>
      <c r="AL108" s="1">
        <f>104.68*($AL$23)</f>
        <v>146.552</v>
      </c>
      <c r="AM108">
        <v>87.57</v>
      </c>
      <c r="AN108">
        <v>5.9</v>
      </c>
      <c r="AO108">
        <v>359.64</v>
      </c>
      <c r="AP108">
        <v>0</v>
      </c>
      <c r="AQ108">
        <v>38.3</v>
      </c>
      <c r="AR108">
        <v>0.5</v>
      </c>
      <c r="AS108">
        <v>0</v>
      </c>
      <c r="AT108">
        <v>95</v>
      </c>
      <c r="AU108">
        <v>65</v>
      </c>
      <c r="AV108">
        <v>1</v>
      </c>
      <c r="AW108">
        <v>1</v>
      </c>
      <c r="AX108">
        <v>1</v>
      </c>
      <c r="AY108">
        <v>1</v>
      </c>
      <c r="AZ108">
        <v>1</v>
      </c>
      <c r="BA108">
        <v>1</v>
      </c>
      <c r="BB108">
        <v>1</v>
      </c>
      <c r="BC108">
        <v>1</v>
      </c>
      <c r="BH108">
        <v>0</v>
      </c>
      <c r="BI108">
        <v>2</v>
      </c>
      <c r="BJ108" t="s">
        <v>99</v>
      </c>
      <c r="BM108">
        <v>57</v>
      </c>
      <c r="BN108">
        <v>0</v>
      </c>
      <c r="BO108" t="s">
        <v>97</v>
      </c>
      <c r="BP108">
        <v>1</v>
      </c>
      <c r="BQ108">
        <v>3</v>
      </c>
      <c r="BR108">
        <v>0</v>
      </c>
      <c r="BS108">
        <v>1</v>
      </c>
      <c r="BT108">
        <v>1</v>
      </c>
      <c r="BU108">
        <v>1</v>
      </c>
      <c r="BV108">
        <v>1</v>
      </c>
      <c r="BW108">
        <v>1</v>
      </c>
      <c r="BX108">
        <v>1</v>
      </c>
      <c r="CF108">
        <v>0</v>
      </c>
      <c r="CG108">
        <v>0</v>
      </c>
      <c r="CM108">
        <v>0</v>
      </c>
      <c r="CO108">
        <v>0</v>
      </c>
      <c r="CP108">
        <f aca="true" t="shared" si="81" ref="CP108:CP115">(P108+Q108+S108)</f>
        <v>148.44</v>
      </c>
      <c r="CQ108">
        <f aca="true" t="shared" si="82" ref="CQ108:CQ115">(AC108)*BC108</f>
        <v>146.552</v>
      </c>
      <c r="CR108">
        <f aca="true" t="shared" si="83" ref="CR108:CR115">(AD108)*BB108</f>
        <v>87.57</v>
      </c>
      <c r="CS108">
        <f aca="true" t="shared" si="84" ref="CS108:CS115">(AE108)*BS108</f>
        <v>5.9</v>
      </c>
      <c r="CT108">
        <f aca="true" t="shared" si="85" ref="CT108:CT115">(AF108)*BA108</f>
        <v>359.64</v>
      </c>
      <c r="CU108">
        <f aca="true" t="shared" si="86" ref="CU108:CX115">(AG108)*BT108</f>
        <v>0</v>
      </c>
      <c r="CV108">
        <f t="shared" si="86"/>
        <v>38.3</v>
      </c>
      <c r="CW108">
        <f t="shared" si="86"/>
        <v>0.5</v>
      </c>
      <c r="CX108">
        <f t="shared" si="86"/>
        <v>0</v>
      </c>
      <c r="CY108">
        <f aca="true" t="shared" si="87" ref="CY108:CY115">(((S108+R108)*AT108)/100)</f>
        <v>86.8205</v>
      </c>
      <c r="CZ108">
        <f aca="true" t="shared" si="88" ref="CZ108:CZ115">(((S108+R108)*AU108)/100)</f>
        <v>59.4035</v>
      </c>
      <c r="DN108">
        <v>0</v>
      </c>
      <c r="DO108">
        <v>0</v>
      </c>
      <c r="DP108">
        <v>1</v>
      </c>
      <c r="DQ108">
        <v>1</v>
      </c>
      <c r="DR108">
        <v>1</v>
      </c>
      <c r="DS108">
        <v>1</v>
      </c>
      <c r="DT108">
        <v>1</v>
      </c>
      <c r="DU108">
        <v>1003</v>
      </c>
      <c r="DV108" t="s">
        <v>60</v>
      </c>
      <c r="DW108" t="s">
        <v>60</v>
      </c>
      <c r="DX108">
        <v>100</v>
      </c>
      <c r="EE108">
        <v>6294949</v>
      </c>
      <c r="EF108">
        <v>3</v>
      </c>
      <c r="EG108" t="s">
        <v>15</v>
      </c>
      <c r="EH108">
        <v>0</v>
      </c>
      <c r="EJ108">
        <v>2</v>
      </c>
      <c r="EK108">
        <v>57</v>
      </c>
      <c r="EL108" t="s">
        <v>73</v>
      </c>
      <c r="EM108" t="s">
        <v>74</v>
      </c>
      <c r="ET108">
        <v>5104.89</v>
      </c>
    </row>
    <row r="109" spans="1:150" ht="12.75">
      <c r="A109">
        <v>18</v>
      </c>
      <c r="B109">
        <v>1</v>
      </c>
      <c r="E109" t="s">
        <v>196</v>
      </c>
      <c r="F109" t="s">
        <v>63</v>
      </c>
      <c r="G109" t="s">
        <v>64</v>
      </c>
      <c r="H109" t="s">
        <v>65</v>
      </c>
      <c r="I109">
        <f>I108*J109</f>
        <v>0.025</v>
      </c>
      <c r="J109">
        <v>0.1</v>
      </c>
      <c r="O109">
        <f t="shared" si="69"/>
        <v>40.4</v>
      </c>
      <c r="P109">
        <f t="shared" si="70"/>
        <v>40.4</v>
      </c>
      <c r="Q109">
        <f t="shared" si="71"/>
        <v>0</v>
      </c>
      <c r="R109">
        <f t="shared" si="72"/>
        <v>0</v>
      </c>
      <c r="S109">
        <f t="shared" si="73"/>
        <v>0</v>
      </c>
      <c r="T109">
        <f t="shared" si="74"/>
        <v>0</v>
      </c>
      <c r="U109">
        <f t="shared" si="75"/>
        <v>0</v>
      </c>
      <c r="V109">
        <f t="shared" si="76"/>
        <v>0</v>
      </c>
      <c r="W109">
        <f t="shared" si="77"/>
        <v>0</v>
      </c>
      <c r="X109">
        <f t="shared" si="78"/>
        <v>0</v>
      </c>
      <c r="Y109">
        <f t="shared" si="78"/>
        <v>0</v>
      </c>
      <c r="AA109">
        <v>0</v>
      </c>
      <c r="AB109">
        <f t="shared" si="79"/>
        <v>1615.852</v>
      </c>
      <c r="AC109">
        <f t="shared" si="80"/>
        <v>1615.852</v>
      </c>
      <c r="AD109">
        <f t="shared" si="80"/>
        <v>0</v>
      </c>
      <c r="AE109">
        <f t="shared" si="80"/>
        <v>0</v>
      </c>
      <c r="AF109">
        <f t="shared" si="80"/>
        <v>0</v>
      </c>
      <c r="AG109">
        <f t="shared" si="80"/>
        <v>0</v>
      </c>
      <c r="AH109">
        <f t="shared" si="80"/>
        <v>0</v>
      </c>
      <c r="AI109">
        <f t="shared" si="80"/>
        <v>0</v>
      </c>
      <c r="AJ109">
        <f t="shared" si="80"/>
        <v>0</v>
      </c>
      <c r="AK109">
        <v>1154.18</v>
      </c>
      <c r="AL109" s="1">
        <f>1154.18*($AL$23)</f>
        <v>1615.852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95</v>
      </c>
      <c r="AU109">
        <v>65</v>
      </c>
      <c r="AV109">
        <v>1</v>
      </c>
      <c r="AW109">
        <v>1</v>
      </c>
      <c r="AX109">
        <v>1</v>
      </c>
      <c r="AY109">
        <v>1</v>
      </c>
      <c r="AZ109">
        <v>1</v>
      </c>
      <c r="BA109">
        <v>1</v>
      </c>
      <c r="BB109">
        <v>1</v>
      </c>
      <c r="BC109">
        <v>1</v>
      </c>
      <c r="BH109">
        <v>3</v>
      </c>
      <c r="BI109">
        <v>2</v>
      </c>
      <c r="BJ109" t="s">
        <v>66</v>
      </c>
      <c r="BM109">
        <v>57</v>
      </c>
      <c r="BN109">
        <v>0</v>
      </c>
      <c r="BO109" t="s">
        <v>63</v>
      </c>
      <c r="BP109">
        <v>1</v>
      </c>
      <c r="BQ109">
        <v>3</v>
      </c>
      <c r="BR109">
        <v>0</v>
      </c>
      <c r="BS109">
        <v>1</v>
      </c>
      <c r="BT109">
        <v>1</v>
      </c>
      <c r="BU109">
        <v>1</v>
      </c>
      <c r="BV109">
        <v>1</v>
      </c>
      <c r="BW109">
        <v>1</v>
      </c>
      <c r="BX109">
        <v>1</v>
      </c>
      <c r="CF109">
        <v>0</v>
      </c>
      <c r="CG109">
        <v>0</v>
      </c>
      <c r="CM109">
        <v>0</v>
      </c>
      <c r="CO109">
        <v>0</v>
      </c>
      <c r="CP109">
        <f t="shared" si="81"/>
        <v>40.4</v>
      </c>
      <c r="CQ109">
        <f t="shared" si="82"/>
        <v>1615.852</v>
      </c>
      <c r="CR109">
        <f t="shared" si="83"/>
        <v>0</v>
      </c>
      <c r="CS109">
        <f t="shared" si="84"/>
        <v>0</v>
      </c>
      <c r="CT109">
        <f t="shared" si="85"/>
        <v>0</v>
      </c>
      <c r="CU109">
        <f t="shared" si="86"/>
        <v>0</v>
      </c>
      <c r="CV109">
        <f t="shared" si="86"/>
        <v>0</v>
      </c>
      <c r="CW109">
        <f t="shared" si="86"/>
        <v>0</v>
      </c>
      <c r="CX109">
        <f t="shared" si="86"/>
        <v>0</v>
      </c>
      <c r="CY109">
        <f t="shared" si="87"/>
        <v>0</v>
      </c>
      <c r="CZ109">
        <f t="shared" si="88"/>
        <v>0</v>
      </c>
      <c r="DN109">
        <v>0</v>
      </c>
      <c r="DO109">
        <v>0</v>
      </c>
      <c r="DP109">
        <v>1</v>
      </c>
      <c r="DQ109">
        <v>1</v>
      </c>
      <c r="DR109">
        <v>1</v>
      </c>
      <c r="DS109">
        <v>1</v>
      </c>
      <c r="DT109">
        <v>1</v>
      </c>
      <c r="DU109">
        <v>1013</v>
      </c>
      <c r="DV109" t="s">
        <v>65</v>
      </c>
      <c r="DW109" t="s">
        <v>67</v>
      </c>
      <c r="DX109">
        <v>1</v>
      </c>
      <c r="EE109">
        <v>6294949</v>
      </c>
      <c r="EF109">
        <v>3</v>
      </c>
      <c r="EG109" t="s">
        <v>15</v>
      </c>
      <c r="EH109">
        <v>0</v>
      </c>
      <c r="EJ109">
        <v>2</v>
      </c>
      <c r="EK109">
        <v>57</v>
      </c>
      <c r="EL109" t="s">
        <v>73</v>
      </c>
      <c r="EM109" t="s">
        <v>74</v>
      </c>
      <c r="ET109">
        <v>1067.45</v>
      </c>
    </row>
    <row r="110" spans="1:150" ht="12.75">
      <c r="A110">
        <v>18</v>
      </c>
      <c r="B110">
        <v>1</v>
      </c>
      <c r="E110" t="s">
        <v>197</v>
      </c>
      <c r="G110" t="s">
        <v>198</v>
      </c>
      <c r="H110" t="s">
        <v>36</v>
      </c>
      <c r="I110">
        <f>I108*J110</f>
        <v>4</v>
      </c>
      <c r="J110">
        <v>16</v>
      </c>
      <c r="O110">
        <f t="shared" si="69"/>
        <v>2650.48</v>
      </c>
      <c r="P110">
        <f t="shared" si="70"/>
        <v>2650.48</v>
      </c>
      <c r="Q110">
        <f t="shared" si="71"/>
        <v>0</v>
      </c>
      <c r="R110">
        <f t="shared" si="72"/>
        <v>0</v>
      </c>
      <c r="S110">
        <f t="shared" si="73"/>
        <v>0</v>
      </c>
      <c r="T110">
        <f t="shared" si="74"/>
        <v>0</v>
      </c>
      <c r="U110">
        <f t="shared" si="75"/>
        <v>0</v>
      </c>
      <c r="V110">
        <f t="shared" si="76"/>
        <v>0</v>
      </c>
      <c r="W110">
        <f t="shared" si="77"/>
        <v>0</v>
      </c>
      <c r="X110">
        <f t="shared" si="78"/>
        <v>0</v>
      </c>
      <c r="Y110">
        <f t="shared" si="78"/>
        <v>0</v>
      </c>
      <c r="AA110">
        <v>0</v>
      </c>
      <c r="AB110">
        <f t="shared" si="79"/>
        <v>662.62</v>
      </c>
      <c r="AC110">
        <f t="shared" si="80"/>
        <v>662.62</v>
      </c>
      <c r="AD110">
        <f t="shared" si="80"/>
        <v>0</v>
      </c>
      <c r="AE110">
        <f t="shared" si="80"/>
        <v>0</v>
      </c>
      <c r="AF110">
        <f t="shared" si="80"/>
        <v>0</v>
      </c>
      <c r="AG110">
        <f t="shared" si="80"/>
        <v>0</v>
      </c>
      <c r="AH110">
        <f t="shared" si="80"/>
        <v>0</v>
      </c>
      <c r="AI110">
        <f t="shared" si="80"/>
        <v>0</v>
      </c>
      <c r="AJ110">
        <f t="shared" si="80"/>
        <v>0</v>
      </c>
      <c r="AK110">
        <v>473.3</v>
      </c>
      <c r="AL110" s="1">
        <f>473.3*($AL$23)</f>
        <v>662.62</v>
      </c>
      <c r="AM110">
        <v>0</v>
      </c>
      <c r="AN110">
        <v>0</v>
      </c>
      <c r="AO110">
        <v>0</v>
      </c>
      <c r="AP110">
        <v>0</v>
      </c>
      <c r="AQ110">
        <v>0</v>
      </c>
      <c r="AR110">
        <v>0</v>
      </c>
      <c r="AS110">
        <v>0</v>
      </c>
      <c r="AT110">
        <v>95</v>
      </c>
      <c r="AU110">
        <v>65</v>
      </c>
      <c r="AV110">
        <v>1</v>
      </c>
      <c r="AW110">
        <v>1</v>
      </c>
      <c r="AX110">
        <v>1</v>
      </c>
      <c r="AY110">
        <v>1</v>
      </c>
      <c r="AZ110">
        <v>1</v>
      </c>
      <c r="BA110">
        <v>1</v>
      </c>
      <c r="BB110">
        <v>1</v>
      </c>
      <c r="BC110">
        <v>1</v>
      </c>
      <c r="BH110">
        <v>3</v>
      </c>
      <c r="BI110">
        <v>2</v>
      </c>
      <c r="BM110">
        <v>57</v>
      </c>
      <c r="BN110">
        <v>0</v>
      </c>
      <c r="BP110">
        <v>0</v>
      </c>
      <c r="BQ110">
        <v>3</v>
      </c>
      <c r="BR110">
        <v>0</v>
      </c>
      <c r="BS110">
        <v>1</v>
      </c>
      <c r="BT110">
        <v>1</v>
      </c>
      <c r="BU110">
        <v>1</v>
      </c>
      <c r="BV110">
        <v>1</v>
      </c>
      <c r="BW110">
        <v>1</v>
      </c>
      <c r="BX110">
        <v>1</v>
      </c>
      <c r="CF110">
        <v>0</v>
      </c>
      <c r="CG110">
        <v>0</v>
      </c>
      <c r="CM110">
        <v>0</v>
      </c>
      <c r="CO110">
        <v>0</v>
      </c>
      <c r="CP110">
        <f t="shared" si="81"/>
        <v>2650.48</v>
      </c>
      <c r="CQ110">
        <f t="shared" si="82"/>
        <v>662.62</v>
      </c>
      <c r="CR110">
        <f t="shared" si="83"/>
        <v>0</v>
      </c>
      <c r="CS110">
        <f t="shared" si="84"/>
        <v>0</v>
      </c>
      <c r="CT110">
        <f t="shared" si="85"/>
        <v>0</v>
      </c>
      <c r="CU110">
        <f t="shared" si="86"/>
        <v>0</v>
      </c>
      <c r="CV110">
        <f t="shared" si="86"/>
        <v>0</v>
      </c>
      <c r="CW110">
        <f t="shared" si="86"/>
        <v>0</v>
      </c>
      <c r="CX110">
        <f t="shared" si="86"/>
        <v>0</v>
      </c>
      <c r="CY110">
        <f t="shared" si="87"/>
        <v>0</v>
      </c>
      <c r="CZ110">
        <f t="shared" si="88"/>
        <v>0</v>
      </c>
      <c r="DN110">
        <v>0</v>
      </c>
      <c r="DO110">
        <v>0</v>
      </c>
      <c r="DP110">
        <v>1</v>
      </c>
      <c r="DQ110">
        <v>1</v>
      </c>
      <c r="DR110">
        <v>1</v>
      </c>
      <c r="DS110">
        <v>1</v>
      </c>
      <c r="DT110">
        <v>1</v>
      </c>
      <c r="DU110">
        <v>1013</v>
      </c>
      <c r="DV110" t="s">
        <v>36</v>
      </c>
      <c r="DW110" t="s">
        <v>36</v>
      </c>
      <c r="DX110">
        <v>1</v>
      </c>
      <c r="EE110">
        <v>6294949</v>
      </c>
      <c r="EF110">
        <v>3</v>
      </c>
      <c r="EG110" t="s">
        <v>15</v>
      </c>
      <c r="EH110">
        <v>0</v>
      </c>
      <c r="EJ110">
        <v>2</v>
      </c>
      <c r="EK110">
        <v>57</v>
      </c>
      <c r="EL110" t="s">
        <v>73</v>
      </c>
      <c r="EM110" t="s">
        <v>74</v>
      </c>
      <c r="ET110">
        <v>70048.4</v>
      </c>
    </row>
    <row r="111" spans="1:150" ht="12.75">
      <c r="A111">
        <v>17</v>
      </c>
      <c r="B111">
        <v>1</v>
      </c>
      <c r="C111">
        <f>ROW(SmtRes!A305)</f>
        <v>305</v>
      </c>
      <c r="E111" t="s">
        <v>24</v>
      </c>
      <c r="F111" t="s">
        <v>199</v>
      </c>
      <c r="G111" t="s">
        <v>200</v>
      </c>
      <c r="H111" t="s">
        <v>20</v>
      </c>
      <c r="I111">
        <v>1</v>
      </c>
      <c r="J111">
        <v>0</v>
      </c>
      <c r="O111">
        <f t="shared" si="69"/>
        <v>101.05</v>
      </c>
      <c r="P111">
        <f t="shared" si="70"/>
        <v>82.28</v>
      </c>
      <c r="Q111">
        <f t="shared" si="71"/>
        <v>0.99</v>
      </c>
      <c r="R111">
        <f t="shared" si="72"/>
        <v>0.08</v>
      </c>
      <c r="S111">
        <f t="shared" si="73"/>
        <v>17.78</v>
      </c>
      <c r="T111">
        <f t="shared" si="74"/>
        <v>0</v>
      </c>
      <c r="U111">
        <f t="shared" si="75"/>
        <v>1.87</v>
      </c>
      <c r="V111">
        <f t="shared" si="76"/>
        <v>0.01</v>
      </c>
      <c r="W111">
        <f t="shared" si="77"/>
        <v>0</v>
      </c>
      <c r="X111">
        <f t="shared" si="78"/>
        <v>16.97</v>
      </c>
      <c r="Y111">
        <f t="shared" si="78"/>
        <v>11.61</v>
      </c>
      <c r="AA111">
        <v>0</v>
      </c>
      <c r="AB111">
        <f t="shared" si="79"/>
        <v>101.048</v>
      </c>
      <c r="AC111">
        <f t="shared" si="80"/>
        <v>82.278</v>
      </c>
      <c r="AD111">
        <f t="shared" si="80"/>
        <v>0.99</v>
      </c>
      <c r="AE111">
        <f t="shared" si="80"/>
        <v>0.08</v>
      </c>
      <c r="AF111">
        <f t="shared" si="80"/>
        <v>17.78</v>
      </c>
      <c r="AG111">
        <f t="shared" si="80"/>
        <v>0</v>
      </c>
      <c r="AH111">
        <f t="shared" si="80"/>
        <v>1.87</v>
      </c>
      <c r="AI111">
        <f t="shared" si="80"/>
        <v>0.006</v>
      </c>
      <c r="AJ111">
        <f t="shared" si="80"/>
        <v>0</v>
      </c>
      <c r="AK111">
        <v>77.54</v>
      </c>
      <c r="AL111" s="1">
        <f>58.77*($AL$23)</f>
        <v>82.278</v>
      </c>
      <c r="AM111">
        <v>0.99</v>
      </c>
      <c r="AN111">
        <v>0.08</v>
      </c>
      <c r="AO111">
        <v>17.78</v>
      </c>
      <c r="AP111">
        <v>0</v>
      </c>
      <c r="AQ111">
        <v>1.87</v>
      </c>
      <c r="AR111">
        <v>0.006</v>
      </c>
      <c r="AS111">
        <v>0</v>
      </c>
      <c r="AT111">
        <v>95</v>
      </c>
      <c r="AU111">
        <v>65</v>
      </c>
      <c r="AV111">
        <v>1</v>
      </c>
      <c r="AW111">
        <v>1</v>
      </c>
      <c r="AX111">
        <v>1</v>
      </c>
      <c r="AY111">
        <v>1</v>
      </c>
      <c r="AZ111">
        <v>1</v>
      </c>
      <c r="BA111">
        <v>1</v>
      </c>
      <c r="BB111">
        <v>1</v>
      </c>
      <c r="BC111">
        <v>1</v>
      </c>
      <c r="BH111">
        <v>0</v>
      </c>
      <c r="BI111">
        <v>2</v>
      </c>
      <c r="BJ111" t="s">
        <v>201</v>
      </c>
      <c r="BM111">
        <v>57</v>
      </c>
      <c r="BN111">
        <v>0</v>
      </c>
      <c r="BO111" t="s">
        <v>199</v>
      </c>
      <c r="BP111">
        <v>1</v>
      </c>
      <c r="BQ111">
        <v>3</v>
      </c>
      <c r="BR111">
        <v>0</v>
      </c>
      <c r="BS111">
        <v>1</v>
      </c>
      <c r="BT111">
        <v>1</v>
      </c>
      <c r="BU111">
        <v>1</v>
      </c>
      <c r="BV111">
        <v>1</v>
      </c>
      <c r="BW111">
        <v>1</v>
      </c>
      <c r="BX111">
        <v>1</v>
      </c>
      <c r="CF111">
        <v>0</v>
      </c>
      <c r="CG111">
        <v>0</v>
      </c>
      <c r="CM111">
        <v>0</v>
      </c>
      <c r="CO111">
        <v>0</v>
      </c>
      <c r="CP111">
        <f t="shared" si="81"/>
        <v>101.05</v>
      </c>
      <c r="CQ111">
        <f t="shared" si="82"/>
        <v>82.278</v>
      </c>
      <c r="CR111">
        <f t="shared" si="83"/>
        <v>0.99</v>
      </c>
      <c r="CS111">
        <f t="shared" si="84"/>
        <v>0.08</v>
      </c>
      <c r="CT111">
        <f t="shared" si="85"/>
        <v>17.78</v>
      </c>
      <c r="CU111">
        <f t="shared" si="86"/>
        <v>0</v>
      </c>
      <c r="CV111">
        <f t="shared" si="86"/>
        <v>1.87</v>
      </c>
      <c r="CW111">
        <f t="shared" si="86"/>
        <v>0.006</v>
      </c>
      <c r="CX111">
        <f t="shared" si="86"/>
        <v>0</v>
      </c>
      <c r="CY111">
        <f t="shared" si="87"/>
        <v>16.967</v>
      </c>
      <c r="CZ111">
        <f t="shared" si="88"/>
        <v>11.608999999999998</v>
      </c>
      <c r="DN111">
        <v>0</v>
      </c>
      <c r="DO111">
        <v>0</v>
      </c>
      <c r="DP111">
        <v>1</v>
      </c>
      <c r="DQ111">
        <v>1</v>
      </c>
      <c r="DR111">
        <v>1</v>
      </c>
      <c r="DS111">
        <v>1</v>
      </c>
      <c r="DT111">
        <v>1</v>
      </c>
      <c r="DU111">
        <v>1010</v>
      </c>
      <c r="DV111" t="s">
        <v>20</v>
      </c>
      <c r="DW111" t="s">
        <v>20</v>
      </c>
      <c r="DX111">
        <v>1</v>
      </c>
      <c r="EE111">
        <v>6294949</v>
      </c>
      <c r="EF111">
        <v>3</v>
      </c>
      <c r="EG111" t="s">
        <v>15</v>
      </c>
      <c r="EH111">
        <v>0</v>
      </c>
      <c r="EJ111">
        <v>2</v>
      </c>
      <c r="EK111">
        <v>57</v>
      </c>
      <c r="EL111" t="s">
        <v>73</v>
      </c>
      <c r="EM111" t="s">
        <v>74</v>
      </c>
      <c r="ET111">
        <v>2868.98</v>
      </c>
    </row>
    <row r="112" spans="1:150" ht="12.75">
      <c r="A112">
        <v>18</v>
      </c>
      <c r="B112">
        <v>1</v>
      </c>
      <c r="E112" t="s">
        <v>176</v>
      </c>
      <c r="G112" t="s">
        <v>202</v>
      </c>
      <c r="H112" t="s">
        <v>43</v>
      </c>
      <c r="I112">
        <f>I111*J112</f>
        <v>1</v>
      </c>
      <c r="J112">
        <v>1</v>
      </c>
      <c r="O112">
        <f t="shared" si="69"/>
        <v>503.62</v>
      </c>
      <c r="P112">
        <f t="shared" si="70"/>
        <v>503.62</v>
      </c>
      <c r="Q112">
        <f t="shared" si="71"/>
        <v>0</v>
      </c>
      <c r="R112">
        <f t="shared" si="72"/>
        <v>0</v>
      </c>
      <c r="S112">
        <f t="shared" si="73"/>
        <v>0</v>
      </c>
      <c r="T112">
        <f t="shared" si="74"/>
        <v>0</v>
      </c>
      <c r="U112">
        <f t="shared" si="75"/>
        <v>0</v>
      </c>
      <c r="V112">
        <f t="shared" si="76"/>
        <v>0</v>
      </c>
      <c r="W112">
        <f t="shared" si="77"/>
        <v>0</v>
      </c>
      <c r="X112">
        <f t="shared" si="78"/>
        <v>0</v>
      </c>
      <c r="Y112">
        <f t="shared" si="78"/>
        <v>0</v>
      </c>
      <c r="AA112">
        <v>0</v>
      </c>
      <c r="AB112">
        <f t="shared" si="79"/>
        <v>503.622</v>
      </c>
      <c r="AC112">
        <f t="shared" si="80"/>
        <v>503.622</v>
      </c>
      <c r="AD112">
        <f t="shared" si="80"/>
        <v>0</v>
      </c>
      <c r="AE112">
        <f t="shared" si="80"/>
        <v>0</v>
      </c>
      <c r="AF112">
        <f t="shared" si="80"/>
        <v>0</v>
      </c>
      <c r="AG112">
        <f t="shared" si="80"/>
        <v>0</v>
      </c>
      <c r="AH112">
        <f t="shared" si="80"/>
        <v>0</v>
      </c>
      <c r="AI112">
        <f t="shared" si="80"/>
        <v>0</v>
      </c>
      <c r="AJ112">
        <f t="shared" si="80"/>
        <v>0</v>
      </c>
      <c r="AK112">
        <v>359.73</v>
      </c>
      <c r="AL112" s="1">
        <f>359.73*($AL$23)</f>
        <v>503.622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95</v>
      </c>
      <c r="AU112">
        <v>65</v>
      </c>
      <c r="AV112">
        <v>1</v>
      </c>
      <c r="AW112">
        <v>1</v>
      </c>
      <c r="AX112">
        <v>1</v>
      </c>
      <c r="AY112">
        <v>1</v>
      </c>
      <c r="AZ112">
        <v>1</v>
      </c>
      <c r="BA112">
        <v>1</v>
      </c>
      <c r="BB112">
        <v>1</v>
      </c>
      <c r="BC112">
        <v>1</v>
      </c>
      <c r="BH112">
        <v>3</v>
      </c>
      <c r="BI112">
        <v>2</v>
      </c>
      <c r="BM112">
        <v>57</v>
      </c>
      <c r="BN112">
        <v>0</v>
      </c>
      <c r="BP112">
        <v>0</v>
      </c>
      <c r="BQ112">
        <v>3</v>
      </c>
      <c r="BR112">
        <v>0</v>
      </c>
      <c r="BS112">
        <v>1</v>
      </c>
      <c r="BT112">
        <v>1</v>
      </c>
      <c r="BU112">
        <v>1</v>
      </c>
      <c r="BV112">
        <v>1</v>
      </c>
      <c r="BW112">
        <v>1</v>
      </c>
      <c r="BX112">
        <v>1</v>
      </c>
      <c r="CF112">
        <v>0</v>
      </c>
      <c r="CG112">
        <v>0</v>
      </c>
      <c r="CM112">
        <v>0</v>
      </c>
      <c r="CO112">
        <v>0</v>
      </c>
      <c r="CP112">
        <f t="shared" si="81"/>
        <v>503.62</v>
      </c>
      <c r="CQ112">
        <f t="shared" si="82"/>
        <v>503.622</v>
      </c>
      <c r="CR112">
        <f t="shared" si="83"/>
        <v>0</v>
      </c>
      <c r="CS112">
        <f t="shared" si="84"/>
        <v>0</v>
      </c>
      <c r="CT112">
        <f t="shared" si="85"/>
        <v>0</v>
      </c>
      <c r="CU112">
        <f t="shared" si="86"/>
        <v>0</v>
      </c>
      <c r="CV112">
        <f t="shared" si="86"/>
        <v>0</v>
      </c>
      <c r="CW112">
        <f t="shared" si="86"/>
        <v>0</v>
      </c>
      <c r="CX112">
        <f t="shared" si="86"/>
        <v>0</v>
      </c>
      <c r="CY112">
        <f t="shared" si="87"/>
        <v>0</v>
      </c>
      <c r="CZ112">
        <f t="shared" si="88"/>
        <v>0</v>
      </c>
      <c r="DN112">
        <v>0</v>
      </c>
      <c r="DO112">
        <v>0</v>
      </c>
      <c r="DP112">
        <v>1</v>
      </c>
      <c r="DQ112">
        <v>1</v>
      </c>
      <c r="DR112">
        <v>1</v>
      </c>
      <c r="DS112">
        <v>1</v>
      </c>
      <c r="DT112">
        <v>1</v>
      </c>
      <c r="DU112">
        <v>1013</v>
      </c>
      <c r="DV112" t="s">
        <v>43</v>
      </c>
      <c r="DW112" t="s">
        <v>43</v>
      </c>
      <c r="DX112">
        <v>1</v>
      </c>
      <c r="EE112">
        <v>6294949</v>
      </c>
      <c r="EF112">
        <v>3</v>
      </c>
      <c r="EG112" t="s">
        <v>15</v>
      </c>
      <c r="EH112">
        <v>0</v>
      </c>
      <c r="EJ112">
        <v>2</v>
      </c>
      <c r="EK112">
        <v>57</v>
      </c>
      <c r="EL112" t="s">
        <v>73</v>
      </c>
      <c r="EM112" t="s">
        <v>74</v>
      </c>
      <c r="ET112">
        <v>13310.01</v>
      </c>
    </row>
    <row r="113" spans="1:150" ht="12.75">
      <c r="A113">
        <v>17</v>
      </c>
      <c r="B113">
        <v>1</v>
      </c>
      <c r="C113">
        <f>ROW(SmtRes!A307)</f>
        <v>307</v>
      </c>
      <c r="E113" t="s">
        <v>28</v>
      </c>
      <c r="F113" t="s">
        <v>203</v>
      </c>
      <c r="G113" t="s">
        <v>204</v>
      </c>
      <c r="H113" t="s">
        <v>141</v>
      </c>
      <c r="I113">
        <v>0.01</v>
      </c>
      <c r="J113">
        <v>0</v>
      </c>
      <c r="O113">
        <f t="shared" si="69"/>
        <v>6.72</v>
      </c>
      <c r="P113">
        <f t="shared" si="70"/>
        <v>6.12</v>
      </c>
      <c r="Q113">
        <f t="shared" si="71"/>
        <v>0</v>
      </c>
      <c r="R113">
        <f t="shared" si="72"/>
        <v>0</v>
      </c>
      <c r="S113">
        <f t="shared" si="73"/>
        <v>0.6</v>
      </c>
      <c r="T113">
        <f t="shared" si="74"/>
        <v>0</v>
      </c>
      <c r="U113">
        <f t="shared" si="75"/>
        <v>0.07</v>
      </c>
      <c r="V113">
        <f t="shared" si="76"/>
        <v>0</v>
      </c>
      <c r="W113">
        <f t="shared" si="77"/>
        <v>0</v>
      </c>
      <c r="X113">
        <f t="shared" si="78"/>
        <v>0.51</v>
      </c>
      <c r="Y113">
        <f t="shared" si="78"/>
        <v>0.39</v>
      </c>
      <c r="AA113">
        <v>0</v>
      </c>
      <c r="AB113">
        <f t="shared" si="79"/>
        <v>672.29</v>
      </c>
      <c r="AC113">
        <f t="shared" si="80"/>
        <v>611.8</v>
      </c>
      <c r="AD113">
        <f t="shared" si="80"/>
        <v>0</v>
      </c>
      <c r="AE113">
        <f t="shared" si="80"/>
        <v>0</v>
      </c>
      <c r="AF113">
        <f t="shared" si="80"/>
        <v>60.49</v>
      </c>
      <c r="AG113">
        <f t="shared" si="80"/>
        <v>0</v>
      </c>
      <c r="AH113">
        <f t="shared" si="80"/>
        <v>7.1</v>
      </c>
      <c r="AI113">
        <f t="shared" si="80"/>
        <v>0</v>
      </c>
      <c r="AJ113">
        <f t="shared" si="80"/>
        <v>0</v>
      </c>
      <c r="AK113">
        <v>497.49</v>
      </c>
      <c r="AL113" s="1">
        <f>437*($AL$23)</f>
        <v>611.8</v>
      </c>
      <c r="AM113">
        <v>0</v>
      </c>
      <c r="AN113">
        <v>0</v>
      </c>
      <c r="AO113">
        <v>60.49</v>
      </c>
      <c r="AP113">
        <v>0</v>
      </c>
      <c r="AQ113">
        <v>7.1</v>
      </c>
      <c r="AR113">
        <v>0</v>
      </c>
      <c r="AS113">
        <v>0</v>
      </c>
      <c r="AT113">
        <v>85</v>
      </c>
      <c r="AU113">
        <v>65</v>
      </c>
      <c r="AV113">
        <v>1</v>
      </c>
      <c r="AW113">
        <v>1</v>
      </c>
      <c r="AX113">
        <v>1</v>
      </c>
      <c r="AY113">
        <v>1</v>
      </c>
      <c r="AZ113">
        <v>1</v>
      </c>
      <c r="BA113">
        <v>1</v>
      </c>
      <c r="BB113">
        <v>1</v>
      </c>
      <c r="BC113">
        <v>1</v>
      </c>
      <c r="BH113">
        <v>0</v>
      </c>
      <c r="BI113">
        <v>1</v>
      </c>
      <c r="BJ113" t="s">
        <v>205</v>
      </c>
      <c r="BM113">
        <v>229</v>
      </c>
      <c r="BN113">
        <v>0</v>
      </c>
      <c r="BO113" t="s">
        <v>203</v>
      </c>
      <c r="BP113">
        <v>1</v>
      </c>
      <c r="BQ113">
        <v>6</v>
      </c>
      <c r="BR113">
        <v>0</v>
      </c>
      <c r="BS113">
        <v>1</v>
      </c>
      <c r="BT113">
        <v>1</v>
      </c>
      <c r="BU113">
        <v>1</v>
      </c>
      <c r="BV113">
        <v>1</v>
      </c>
      <c r="BW113">
        <v>1</v>
      </c>
      <c r="BX113">
        <v>1</v>
      </c>
      <c r="CF113">
        <v>0</v>
      </c>
      <c r="CG113">
        <v>0</v>
      </c>
      <c r="CM113">
        <v>0</v>
      </c>
      <c r="CO113">
        <v>0</v>
      </c>
      <c r="CP113">
        <f t="shared" si="81"/>
        <v>6.72</v>
      </c>
      <c r="CQ113">
        <f t="shared" si="82"/>
        <v>611.8</v>
      </c>
      <c r="CR113">
        <f t="shared" si="83"/>
        <v>0</v>
      </c>
      <c r="CS113">
        <f t="shared" si="84"/>
        <v>0</v>
      </c>
      <c r="CT113">
        <f t="shared" si="85"/>
        <v>60.49</v>
      </c>
      <c r="CU113">
        <f t="shared" si="86"/>
        <v>0</v>
      </c>
      <c r="CV113">
        <f t="shared" si="86"/>
        <v>7.1</v>
      </c>
      <c r="CW113">
        <f t="shared" si="86"/>
        <v>0</v>
      </c>
      <c r="CX113">
        <f t="shared" si="86"/>
        <v>0</v>
      </c>
      <c r="CY113">
        <f t="shared" si="87"/>
        <v>0.51</v>
      </c>
      <c r="CZ113">
        <f t="shared" si="88"/>
        <v>0.39</v>
      </c>
      <c r="DN113">
        <v>0</v>
      </c>
      <c r="DO113">
        <v>0</v>
      </c>
      <c r="DP113">
        <v>1</v>
      </c>
      <c r="DQ113">
        <v>1</v>
      </c>
      <c r="DR113">
        <v>1</v>
      </c>
      <c r="DS113">
        <v>1</v>
      </c>
      <c r="DT113">
        <v>1</v>
      </c>
      <c r="DU113">
        <v>1010</v>
      </c>
      <c r="DV113" t="s">
        <v>141</v>
      </c>
      <c r="DW113" t="s">
        <v>141</v>
      </c>
      <c r="DX113">
        <v>100</v>
      </c>
      <c r="EE113">
        <v>6294982</v>
      </c>
      <c r="EF113">
        <v>6</v>
      </c>
      <c r="EG113" t="s">
        <v>206</v>
      </c>
      <c r="EH113">
        <v>0</v>
      </c>
      <c r="EJ113">
        <v>1</v>
      </c>
      <c r="EK113">
        <v>229</v>
      </c>
      <c r="EL113" t="s">
        <v>207</v>
      </c>
      <c r="EM113" t="s">
        <v>208</v>
      </c>
      <c r="ET113">
        <v>183.89</v>
      </c>
    </row>
    <row r="114" spans="1:150" ht="12.75">
      <c r="A114">
        <v>18</v>
      </c>
      <c r="B114">
        <v>1</v>
      </c>
      <c r="E114" t="s">
        <v>33</v>
      </c>
      <c r="F114" t="s">
        <v>209</v>
      </c>
      <c r="G114" t="s">
        <v>210</v>
      </c>
      <c r="H114" t="s">
        <v>211</v>
      </c>
      <c r="I114">
        <f>I113*J114</f>
        <v>0.1</v>
      </c>
      <c r="J114">
        <v>10</v>
      </c>
      <c r="O114">
        <f t="shared" si="69"/>
        <v>2.32</v>
      </c>
      <c r="P114">
        <f t="shared" si="70"/>
        <v>2.32</v>
      </c>
      <c r="Q114">
        <f t="shared" si="71"/>
        <v>0</v>
      </c>
      <c r="R114">
        <f t="shared" si="72"/>
        <v>0</v>
      </c>
      <c r="S114">
        <f t="shared" si="73"/>
        <v>0</v>
      </c>
      <c r="T114">
        <f t="shared" si="74"/>
        <v>0</v>
      </c>
      <c r="U114">
        <f t="shared" si="75"/>
        <v>0</v>
      </c>
      <c r="V114">
        <f t="shared" si="76"/>
        <v>0</v>
      </c>
      <c r="W114">
        <f t="shared" si="77"/>
        <v>0</v>
      </c>
      <c r="X114">
        <f t="shared" si="78"/>
        <v>0</v>
      </c>
      <c r="Y114">
        <f t="shared" si="78"/>
        <v>0</v>
      </c>
      <c r="AA114">
        <v>0</v>
      </c>
      <c r="AB114">
        <f t="shared" si="79"/>
        <v>23.226</v>
      </c>
      <c r="AC114">
        <f t="shared" si="80"/>
        <v>23.226</v>
      </c>
      <c r="AD114">
        <f t="shared" si="80"/>
        <v>0</v>
      </c>
      <c r="AE114">
        <f t="shared" si="80"/>
        <v>0</v>
      </c>
      <c r="AF114">
        <f t="shared" si="80"/>
        <v>0</v>
      </c>
      <c r="AG114">
        <f t="shared" si="80"/>
        <v>0</v>
      </c>
      <c r="AH114">
        <f t="shared" si="80"/>
        <v>0</v>
      </c>
      <c r="AI114">
        <f t="shared" si="80"/>
        <v>0</v>
      </c>
      <c r="AJ114">
        <f t="shared" si="80"/>
        <v>0</v>
      </c>
      <c r="AK114">
        <v>16.59</v>
      </c>
      <c r="AL114" s="1">
        <f>16.59*($AL$23)</f>
        <v>23.226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85</v>
      </c>
      <c r="AU114">
        <v>65</v>
      </c>
      <c r="AV114">
        <v>1</v>
      </c>
      <c r="AW114">
        <v>1</v>
      </c>
      <c r="AX114">
        <v>1</v>
      </c>
      <c r="AY114">
        <v>1</v>
      </c>
      <c r="AZ114">
        <v>1</v>
      </c>
      <c r="BA114">
        <v>1</v>
      </c>
      <c r="BB114">
        <v>1</v>
      </c>
      <c r="BC114">
        <v>1</v>
      </c>
      <c r="BH114">
        <v>3</v>
      </c>
      <c r="BI114">
        <v>1</v>
      </c>
      <c r="BJ114" t="s">
        <v>212</v>
      </c>
      <c r="BM114">
        <v>229</v>
      </c>
      <c r="BN114">
        <v>0</v>
      </c>
      <c r="BP114">
        <v>0</v>
      </c>
      <c r="BQ114">
        <v>6</v>
      </c>
      <c r="BR114">
        <v>0</v>
      </c>
      <c r="BS114">
        <v>1</v>
      </c>
      <c r="BT114">
        <v>1</v>
      </c>
      <c r="BU114">
        <v>1</v>
      </c>
      <c r="BV114">
        <v>1</v>
      </c>
      <c r="BW114">
        <v>1</v>
      </c>
      <c r="BX114">
        <v>1</v>
      </c>
      <c r="CF114">
        <v>0</v>
      </c>
      <c r="CG114">
        <v>0</v>
      </c>
      <c r="CM114">
        <v>0</v>
      </c>
      <c r="CO114">
        <v>0</v>
      </c>
      <c r="CP114">
        <f t="shared" si="81"/>
        <v>2.32</v>
      </c>
      <c r="CQ114">
        <f t="shared" si="82"/>
        <v>23.226</v>
      </c>
      <c r="CR114">
        <f t="shared" si="83"/>
        <v>0</v>
      </c>
      <c r="CS114">
        <f t="shared" si="84"/>
        <v>0</v>
      </c>
      <c r="CT114">
        <f t="shared" si="85"/>
        <v>0</v>
      </c>
      <c r="CU114">
        <f t="shared" si="86"/>
        <v>0</v>
      </c>
      <c r="CV114">
        <f t="shared" si="86"/>
        <v>0</v>
      </c>
      <c r="CW114">
        <f t="shared" si="86"/>
        <v>0</v>
      </c>
      <c r="CX114">
        <f t="shared" si="86"/>
        <v>0</v>
      </c>
      <c r="CY114">
        <f t="shared" si="87"/>
        <v>0</v>
      </c>
      <c r="CZ114">
        <f t="shared" si="88"/>
        <v>0</v>
      </c>
      <c r="DN114">
        <v>0</v>
      </c>
      <c r="DO114">
        <v>0</v>
      </c>
      <c r="DP114">
        <v>1</v>
      </c>
      <c r="DQ114">
        <v>1</v>
      </c>
      <c r="DR114">
        <v>1</v>
      </c>
      <c r="DS114">
        <v>1</v>
      </c>
      <c r="DT114">
        <v>1</v>
      </c>
      <c r="DU114">
        <v>1010</v>
      </c>
      <c r="DV114" t="s">
        <v>211</v>
      </c>
      <c r="DW114" t="s">
        <v>211</v>
      </c>
      <c r="DX114">
        <v>10</v>
      </c>
      <c r="EE114">
        <v>6294982</v>
      </c>
      <c r="EF114">
        <v>6</v>
      </c>
      <c r="EG114" t="s">
        <v>206</v>
      </c>
      <c r="EH114">
        <v>0</v>
      </c>
      <c r="EJ114">
        <v>1</v>
      </c>
      <c r="EK114">
        <v>229</v>
      </c>
      <c r="EL114" t="s">
        <v>207</v>
      </c>
      <c r="EM114" t="s">
        <v>208</v>
      </c>
      <c r="ET114">
        <v>61.42</v>
      </c>
    </row>
    <row r="115" spans="1:150" ht="12.75">
      <c r="A115">
        <v>17</v>
      </c>
      <c r="B115">
        <v>1</v>
      </c>
      <c r="C115">
        <f>ROW(SmtRes!A314)</f>
        <v>314</v>
      </c>
      <c r="E115" t="s">
        <v>48</v>
      </c>
      <c r="F115" t="s">
        <v>178</v>
      </c>
      <c r="G115" t="s">
        <v>179</v>
      </c>
      <c r="H115" t="s">
        <v>20</v>
      </c>
      <c r="I115">
        <v>1</v>
      </c>
      <c r="J115">
        <v>0</v>
      </c>
      <c r="O115">
        <f t="shared" si="69"/>
        <v>20.79</v>
      </c>
      <c r="P115">
        <f t="shared" si="70"/>
        <v>1.71</v>
      </c>
      <c r="Q115">
        <f t="shared" si="71"/>
        <v>8.22</v>
      </c>
      <c r="R115">
        <f t="shared" si="72"/>
        <v>0.94</v>
      </c>
      <c r="S115">
        <f t="shared" si="73"/>
        <v>10.86</v>
      </c>
      <c r="T115">
        <f t="shared" si="74"/>
        <v>0</v>
      </c>
      <c r="U115">
        <f t="shared" si="75"/>
        <v>1.13</v>
      </c>
      <c r="V115">
        <f t="shared" si="76"/>
        <v>0.08</v>
      </c>
      <c r="W115">
        <f t="shared" si="77"/>
        <v>0</v>
      </c>
      <c r="X115">
        <f t="shared" si="78"/>
        <v>11.21</v>
      </c>
      <c r="Y115">
        <f t="shared" si="78"/>
        <v>7.67</v>
      </c>
      <c r="AA115">
        <v>0</v>
      </c>
      <c r="AB115">
        <f t="shared" si="79"/>
        <v>20.788</v>
      </c>
      <c r="AC115">
        <f t="shared" si="80"/>
        <v>1.708</v>
      </c>
      <c r="AD115">
        <f t="shared" si="80"/>
        <v>8.22</v>
      </c>
      <c r="AE115">
        <f t="shared" si="80"/>
        <v>0.94</v>
      </c>
      <c r="AF115">
        <f t="shared" si="80"/>
        <v>10.86</v>
      </c>
      <c r="AG115">
        <f t="shared" si="80"/>
        <v>0</v>
      </c>
      <c r="AH115">
        <f t="shared" si="80"/>
        <v>1.13</v>
      </c>
      <c r="AI115">
        <f t="shared" si="80"/>
        <v>0.08</v>
      </c>
      <c r="AJ115">
        <f t="shared" si="80"/>
        <v>0</v>
      </c>
      <c r="AK115">
        <v>20.3</v>
      </c>
      <c r="AL115" s="1">
        <f>1.22*($AL$23)</f>
        <v>1.708</v>
      </c>
      <c r="AM115">
        <v>8.22</v>
      </c>
      <c r="AN115">
        <v>0.94</v>
      </c>
      <c r="AO115">
        <v>10.86</v>
      </c>
      <c r="AP115">
        <v>0</v>
      </c>
      <c r="AQ115">
        <v>1.13</v>
      </c>
      <c r="AR115">
        <v>0.08</v>
      </c>
      <c r="AS115">
        <v>0</v>
      </c>
      <c r="AT115">
        <v>95</v>
      </c>
      <c r="AU115">
        <v>65</v>
      </c>
      <c r="AV115">
        <v>1</v>
      </c>
      <c r="AW115">
        <v>1</v>
      </c>
      <c r="AX115">
        <v>1</v>
      </c>
      <c r="AY115">
        <v>1</v>
      </c>
      <c r="AZ115">
        <v>1</v>
      </c>
      <c r="BA115">
        <v>1</v>
      </c>
      <c r="BB115">
        <v>1</v>
      </c>
      <c r="BC115">
        <v>1</v>
      </c>
      <c r="BH115">
        <v>0</v>
      </c>
      <c r="BI115">
        <v>2</v>
      </c>
      <c r="BJ115" t="s">
        <v>180</v>
      </c>
      <c r="BM115">
        <v>57</v>
      </c>
      <c r="BN115">
        <v>0</v>
      </c>
      <c r="BO115" t="s">
        <v>178</v>
      </c>
      <c r="BP115">
        <v>1</v>
      </c>
      <c r="BQ115">
        <v>3</v>
      </c>
      <c r="BR115">
        <v>0</v>
      </c>
      <c r="BS115">
        <v>1</v>
      </c>
      <c r="BT115">
        <v>1</v>
      </c>
      <c r="BU115">
        <v>1</v>
      </c>
      <c r="BV115">
        <v>1</v>
      </c>
      <c r="BW115">
        <v>1</v>
      </c>
      <c r="BX115">
        <v>1</v>
      </c>
      <c r="CF115">
        <v>0</v>
      </c>
      <c r="CG115">
        <v>0</v>
      </c>
      <c r="CM115">
        <v>0</v>
      </c>
      <c r="CO115">
        <v>0</v>
      </c>
      <c r="CP115">
        <f t="shared" si="81"/>
        <v>20.79</v>
      </c>
      <c r="CQ115">
        <f t="shared" si="82"/>
        <v>1.708</v>
      </c>
      <c r="CR115">
        <f t="shared" si="83"/>
        <v>8.22</v>
      </c>
      <c r="CS115">
        <f t="shared" si="84"/>
        <v>0.94</v>
      </c>
      <c r="CT115">
        <f t="shared" si="85"/>
        <v>10.86</v>
      </c>
      <c r="CU115">
        <f t="shared" si="86"/>
        <v>0</v>
      </c>
      <c r="CV115">
        <f t="shared" si="86"/>
        <v>1.13</v>
      </c>
      <c r="CW115">
        <f t="shared" si="86"/>
        <v>0.08</v>
      </c>
      <c r="CX115">
        <f t="shared" si="86"/>
        <v>0</v>
      </c>
      <c r="CY115">
        <f t="shared" si="87"/>
        <v>11.21</v>
      </c>
      <c r="CZ115">
        <f t="shared" si="88"/>
        <v>7.669999999999999</v>
      </c>
      <c r="DN115">
        <v>0</v>
      </c>
      <c r="DO115">
        <v>0</v>
      </c>
      <c r="DP115">
        <v>1</v>
      </c>
      <c r="DQ115">
        <v>1</v>
      </c>
      <c r="DR115">
        <v>1</v>
      </c>
      <c r="DS115">
        <v>1</v>
      </c>
      <c r="DT115">
        <v>1</v>
      </c>
      <c r="DU115">
        <v>1010</v>
      </c>
      <c r="DV115" t="s">
        <v>20</v>
      </c>
      <c r="DW115" t="s">
        <v>20</v>
      </c>
      <c r="DX115">
        <v>1</v>
      </c>
      <c r="EE115">
        <v>6294949</v>
      </c>
      <c r="EF115">
        <v>3</v>
      </c>
      <c r="EG115" t="s">
        <v>15</v>
      </c>
      <c r="EH115">
        <v>0</v>
      </c>
      <c r="EJ115">
        <v>2</v>
      </c>
      <c r="EK115">
        <v>57</v>
      </c>
      <c r="EL115" t="s">
        <v>73</v>
      </c>
      <c r="EM115" t="s">
        <v>74</v>
      </c>
      <c r="ET115">
        <v>751.1</v>
      </c>
    </row>
    <row r="117" spans="1:39" ht="12.75">
      <c r="A117" s="2">
        <v>51</v>
      </c>
      <c r="B117" s="2">
        <f>B104</f>
        <v>1</v>
      </c>
      <c r="C117" s="2">
        <f>A104</f>
        <v>4</v>
      </c>
      <c r="D117" s="2">
        <f>ROW(A104)</f>
        <v>104</v>
      </c>
      <c r="E117" s="2"/>
      <c r="F117" s="2" t="str">
        <f>IF(F104&lt;&gt;"",F104,"")</f>
        <v>Новый раздел</v>
      </c>
      <c r="G117" s="2" t="str">
        <f>IF(G104&lt;&gt;"",G104,"")</f>
        <v>Пост сигнализации</v>
      </c>
      <c r="H117" s="2"/>
      <c r="I117" s="2"/>
      <c r="J117" s="2"/>
      <c r="K117" s="2"/>
      <c r="L117" s="2"/>
      <c r="M117" s="2"/>
      <c r="N117" s="2"/>
      <c r="O117" s="2">
        <f aca="true" t="shared" si="89" ref="O117:Y117">ROUND(AB117,2)</f>
        <v>3473.82</v>
      </c>
      <c r="P117" s="2">
        <f t="shared" si="89"/>
        <v>3323.57</v>
      </c>
      <c r="Q117" s="2">
        <f t="shared" si="89"/>
        <v>31.1</v>
      </c>
      <c r="R117" s="2">
        <f t="shared" si="89"/>
        <v>2.5</v>
      </c>
      <c r="S117" s="2">
        <f t="shared" si="89"/>
        <v>119.15</v>
      </c>
      <c r="T117" s="2">
        <f t="shared" si="89"/>
        <v>0</v>
      </c>
      <c r="U117" s="2">
        <f t="shared" si="89"/>
        <v>12.65</v>
      </c>
      <c r="V117" s="2">
        <f t="shared" si="89"/>
        <v>0.22</v>
      </c>
      <c r="W117" s="2">
        <f t="shared" si="89"/>
        <v>0</v>
      </c>
      <c r="X117" s="2">
        <f t="shared" si="89"/>
        <v>115.51</v>
      </c>
      <c r="Y117" s="2">
        <f t="shared" si="89"/>
        <v>79.07</v>
      </c>
      <c r="Z117" s="2"/>
      <c r="AA117" s="2"/>
      <c r="AB117" s="2">
        <f>ROUND(SUMIF(AA108:AA115,"=0",O108:O115),2)</f>
        <v>3473.82</v>
      </c>
      <c r="AC117" s="2">
        <f>ROUND(SUMIF(AA108:AA115,"=0",P108:P115),2)</f>
        <v>3323.57</v>
      </c>
      <c r="AD117" s="2">
        <f>ROUND(SUMIF(AA108:AA115,"=0",Q108:Q115),2)</f>
        <v>31.1</v>
      </c>
      <c r="AE117" s="2">
        <f>ROUND(SUMIF(AA108:AA115,"=0",R108:R115),2)</f>
        <v>2.5</v>
      </c>
      <c r="AF117" s="2">
        <f>ROUND(SUMIF(AA108:AA115,"=0",S108:S115),2)</f>
        <v>119.15</v>
      </c>
      <c r="AG117" s="2">
        <f>ROUND(SUMIF(AA108:AA115,"=0",T108:T115),2)</f>
        <v>0</v>
      </c>
      <c r="AH117" s="2">
        <f>ROUND(SUMIF(AA108:AA115,"=0",U108:U115),2)</f>
        <v>12.65</v>
      </c>
      <c r="AI117" s="2">
        <f>ROUND(SUMIF(AA108:AA115,"=0",V108:V115),2)</f>
        <v>0.22</v>
      </c>
      <c r="AJ117" s="2">
        <f>ROUND(SUMIF(AA108:AA115,"=0",W108:W115),2)</f>
        <v>0</v>
      </c>
      <c r="AK117" s="2">
        <f>ROUND(SUMIF(AA108:AA115,"=0",X108:X115),2)</f>
        <v>115.51</v>
      </c>
      <c r="AL117" s="2">
        <f>ROUND(SUMIF(AA108:AA115,"=0",Y108:Y115),2)</f>
        <v>79.07</v>
      </c>
      <c r="AM117" s="2">
        <v>0</v>
      </c>
    </row>
    <row r="119" spans="1:14" ht="12.75">
      <c r="A119" s="3">
        <v>50</v>
      </c>
      <c r="B119" s="3">
        <f>IF(Source!F119&lt;&gt;0,1,0)</f>
        <v>1</v>
      </c>
      <c r="C119" s="3">
        <v>0</v>
      </c>
      <c r="D119" s="3">
        <v>1</v>
      </c>
      <c r="E119" s="3">
        <v>201</v>
      </c>
      <c r="F119" s="3">
        <f>Source!O117</f>
        <v>3473.82</v>
      </c>
      <c r="G119" s="3" t="s">
        <v>148</v>
      </c>
      <c r="H119" s="3" t="s">
        <v>149</v>
      </c>
      <c r="I119" s="3"/>
      <c r="J119" s="3"/>
      <c r="K119" s="3">
        <v>201</v>
      </c>
      <c r="L119" s="3">
        <v>1</v>
      </c>
      <c r="M119" s="3">
        <v>1</v>
      </c>
      <c r="N119" s="3" t="s">
        <v>5</v>
      </c>
    </row>
    <row r="120" spans="1:14" ht="12.75">
      <c r="A120" s="3">
        <v>50</v>
      </c>
      <c r="B120" s="3">
        <f>IF(Source!F120&lt;&gt;0,1,0)</f>
        <v>1</v>
      </c>
      <c r="C120" s="3">
        <v>0</v>
      </c>
      <c r="D120" s="3">
        <v>1</v>
      </c>
      <c r="E120" s="3">
        <v>202</v>
      </c>
      <c r="F120" s="3">
        <f>Source!P117</f>
        <v>3323.57</v>
      </c>
      <c r="G120" s="3" t="s">
        <v>150</v>
      </c>
      <c r="H120" s="3" t="s">
        <v>151</v>
      </c>
      <c r="I120" s="3"/>
      <c r="J120" s="3"/>
      <c r="K120" s="3">
        <v>202</v>
      </c>
      <c r="L120" s="3">
        <v>2</v>
      </c>
      <c r="M120" s="3">
        <v>1</v>
      </c>
      <c r="N120" s="3" t="s">
        <v>5</v>
      </c>
    </row>
    <row r="121" spans="1:14" ht="12.75">
      <c r="A121" s="3">
        <v>50</v>
      </c>
      <c r="B121" s="3">
        <f>IF(Source!F121&lt;&gt;0,1,0)</f>
        <v>1</v>
      </c>
      <c r="C121" s="3">
        <v>0</v>
      </c>
      <c r="D121" s="3">
        <v>1</v>
      </c>
      <c r="E121" s="3">
        <v>203</v>
      </c>
      <c r="F121" s="3">
        <f>Source!Q117</f>
        <v>31.1</v>
      </c>
      <c r="G121" s="3" t="s">
        <v>152</v>
      </c>
      <c r="H121" s="3" t="s">
        <v>153</v>
      </c>
      <c r="I121" s="3"/>
      <c r="J121" s="3"/>
      <c r="K121" s="3">
        <v>203</v>
      </c>
      <c r="L121" s="3">
        <v>3</v>
      </c>
      <c r="M121" s="3">
        <v>1</v>
      </c>
      <c r="N121" s="3" t="s">
        <v>5</v>
      </c>
    </row>
    <row r="122" spans="1:14" ht="12.75">
      <c r="A122" s="3">
        <v>50</v>
      </c>
      <c r="B122" s="3">
        <f>IF(Source!F122&lt;&gt;0,1,0)</f>
        <v>1</v>
      </c>
      <c r="C122" s="3">
        <v>0</v>
      </c>
      <c r="D122" s="3">
        <v>1</v>
      </c>
      <c r="E122" s="3">
        <v>204</v>
      </c>
      <c r="F122" s="3">
        <f>Source!R117</f>
        <v>2.5</v>
      </c>
      <c r="G122" s="3" t="s">
        <v>154</v>
      </c>
      <c r="H122" s="3" t="s">
        <v>155</v>
      </c>
      <c r="I122" s="3"/>
      <c r="J122" s="3"/>
      <c r="K122" s="3">
        <v>204</v>
      </c>
      <c r="L122" s="3">
        <v>4</v>
      </c>
      <c r="M122" s="3">
        <v>1</v>
      </c>
      <c r="N122" s="3" t="s">
        <v>5</v>
      </c>
    </row>
    <row r="123" spans="1:14" ht="12.75">
      <c r="A123" s="3">
        <v>50</v>
      </c>
      <c r="B123" s="3">
        <f>IF(Source!F123&lt;&gt;0,1,0)</f>
        <v>1</v>
      </c>
      <c r="C123" s="3">
        <v>0</v>
      </c>
      <c r="D123" s="3">
        <v>1</v>
      </c>
      <c r="E123" s="3">
        <v>205</v>
      </c>
      <c r="F123" s="3">
        <f>Source!S117</f>
        <v>119.15</v>
      </c>
      <c r="G123" s="3" t="s">
        <v>156</v>
      </c>
      <c r="H123" s="3" t="s">
        <v>157</v>
      </c>
      <c r="I123" s="3"/>
      <c r="J123" s="3"/>
      <c r="K123" s="3">
        <v>205</v>
      </c>
      <c r="L123" s="3">
        <v>5</v>
      </c>
      <c r="M123" s="3">
        <v>1</v>
      </c>
      <c r="N123" s="3" t="s">
        <v>5</v>
      </c>
    </row>
    <row r="124" spans="1:14" ht="12.75">
      <c r="A124" s="3">
        <v>50</v>
      </c>
      <c r="B124" s="3">
        <f>IF(Source!F124&lt;&gt;0,1,0)</f>
        <v>0</v>
      </c>
      <c r="C124" s="3">
        <v>0</v>
      </c>
      <c r="D124" s="3">
        <v>1</v>
      </c>
      <c r="E124" s="3">
        <v>206</v>
      </c>
      <c r="F124" s="3">
        <f>Source!T117</f>
        <v>0</v>
      </c>
      <c r="G124" s="3" t="s">
        <v>158</v>
      </c>
      <c r="H124" s="3" t="s">
        <v>159</v>
      </c>
      <c r="I124" s="3"/>
      <c r="J124" s="3"/>
      <c r="K124" s="3">
        <v>206</v>
      </c>
      <c r="L124" s="3">
        <v>6</v>
      </c>
      <c r="M124" s="3">
        <v>1</v>
      </c>
      <c r="N124" s="3" t="s">
        <v>5</v>
      </c>
    </row>
    <row r="125" spans="1:14" ht="12.75">
      <c r="A125" s="3">
        <v>50</v>
      </c>
      <c r="B125" s="3">
        <f>IF(Source!F125&lt;&gt;0,1,0)</f>
        <v>1</v>
      </c>
      <c r="C125" s="3">
        <v>0</v>
      </c>
      <c r="D125" s="3">
        <v>1</v>
      </c>
      <c r="E125" s="3">
        <v>207</v>
      </c>
      <c r="F125" s="3">
        <f>Source!U117</f>
        <v>12.65</v>
      </c>
      <c r="G125" s="3" t="s">
        <v>160</v>
      </c>
      <c r="H125" s="3" t="s">
        <v>161</v>
      </c>
      <c r="I125" s="3"/>
      <c r="J125" s="3"/>
      <c r="K125" s="3">
        <v>207</v>
      </c>
      <c r="L125" s="3">
        <v>7</v>
      </c>
      <c r="M125" s="3">
        <v>1</v>
      </c>
      <c r="N125" s="3" t="s">
        <v>5</v>
      </c>
    </row>
    <row r="126" spans="1:14" ht="12.75">
      <c r="A126" s="3">
        <v>50</v>
      </c>
      <c r="B126" s="3">
        <f>IF(Source!F126&lt;&gt;0,1,0)</f>
        <v>1</v>
      </c>
      <c r="C126" s="3">
        <v>0</v>
      </c>
      <c r="D126" s="3">
        <v>1</v>
      </c>
      <c r="E126" s="3">
        <v>208</v>
      </c>
      <c r="F126" s="3">
        <f>Source!V117</f>
        <v>0.22</v>
      </c>
      <c r="G126" s="3" t="s">
        <v>162</v>
      </c>
      <c r="H126" s="3" t="s">
        <v>163</v>
      </c>
      <c r="I126" s="3"/>
      <c r="J126" s="3"/>
      <c r="K126" s="3">
        <v>208</v>
      </c>
      <c r="L126" s="3">
        <v>8</v>
      </c>
      <c r="M126" s="3">
        <v>1</v>
      </c>
      <c r="N126" s="3" t="s">
        <v>5</v>
      </c>
    </row>
    <row r="127" spans="1:14" ht="12.75">
      <c r="A127" s="3">
        <v>50</v>
      </c>
      <c r="B127" s="3">
        <f>IF(Source!F127&lt;&gt;0,1,0)</f>
        <v>0</v>
      </c>
      <c r="C127" s="3">
        <v>0</v>
      </c>
      <c r="D127" s="3">
        <v>1</v>
      </c>
      <c r="E127" s="3">
        <v>209</v>
      </c>
      <c r="F127" s="3">
        <f>Source!W117</f>
        <v>0</v>
      </c>
      <c r="G127" s="3" t="s">
        <v>164</v>
      </c>
      <c r="H127" s="3" t="s">
        <v>165</v>
      </c>
      <c r="I127" s="3"/>
      <c r="J127" s="3"/>
      <c r="K127" s="3">
        <v>209</v>
      </c>
      <c r="L127" s="3">
        <v>9</v>
      </c>
      <c r="M127" s="3">
        <v>1</v>
      </c>
      <c r="N127" s="3" t="s">
        <v>5</v>
      </c>
    </row>
    <row r="128" spans="1:14" ht="12.75">
      <c r="A128" s="3">
        <v>50</v>
      </c>
      <c r="B128" s="3">
        <f>IF(Source!F128&lt;&gt;0,1,0)</f>
        <v>1</v>
      </c>
      <c r="C128" s="3">
        <v>0</v>
      </c>
      <c r="D128" s="3">
        <v>1</v>
      </c>
      <c r="E128" s="3">
        <v>210</v>
      </c>
      <c r="F128" s="3">
        <f>Source!X117</f>
        <v>115.51</v>
      </c>
      <c r="G128" s="3" t="s">
        <v>166</v>
      </c>
      <c r="H128" s="3" t="s">
        <v>167</v>
      </c>
      <c r="I128" s="3"/>
      <c r="J128" s="3"/>
      <c r="K128" s="3">
        <v>210</v>
      </c>
      <c r="L128" s="3">
        <v>10</v>
      </c>
      <c r="M128" s="3">
        <v>1</v>
      </c>
      <c r="N128" s="3" t="s">
        <v>5</v>
      </c>
    </row>
    <row r="129" spans="1:14" ht="12.75">
      <c r="A129" s="3">
        <v>50</v>
      </c>
      <c r="B129" s="3">
        <v>1</v>
      </c>
      <c r="C129" s="3">
        <v>0</v>
      </c>
      <c r="D129" s="3">
        <v>1</v>
      </c>
      <c r="E129" s="3">
        <v>211</v>
      </c>
      <c r="F129" s="3">
        <f>Source!Y117</f>
        <v>79.07</v>
      </c>
      <c r="G129" s="3" t="s">
        <v>168</v>
      </c>
      <c r="H129" s="3" t="s">
        <v>169</v>
      </c>
      <c r="I129" s="3"/>
      <c r="J129" s="3"/>
      <c r="K129" s="3">
        <v>211</v>
      </c>
      <c r="L129" s="3">
        <v>11</v>
      </c>
      <c r="M129" s="3">
        <v>0</v>
      </c>
      <c r="N129" s="3" t="s">
        <v>5</v>
      </c>
    </row>
    <row r="130" ht="12.75">
      <c r="G130">
        <v>0</v>
      </c>
    </row>
    <row r="131" spans="1:59" ht="12.75">
      <c r="A131" s="1">
        <v>4</v>
      </c>
      <c r="B131" s="1">
        <v>1</v>
      </c>
      <c r="C131" s="1"/>
      <c r="D131" s="1">
        <f>ROW(A143)</f>
        <v>143</v>
      </c>
      <c r="E131" s="1"/>
      <c r="F131" s="1" t="s">
        <v>213</v>
      </c>
      <c r="G131" s="1" t="s">
        <v>213</v>
      </c>
      <c r="H131" s="1"/>
      <c r="I131" s="1"/>
      <c r="J131" s="1"/>
      <c r="K131" s="1"/>
      <c r="L131" s="1"/>
      <c r="M131" s="1"/>
      <c r="N131" s="1" t="s">
        <v>5</v>
      </c>
      <c r="O131" s="1"/>
      <c r="P131" s="1"/>
      <c r="Q131" s="1"/>
      <c r="R131" s="1" t="s">
        <v>5</v>
      </c>
      <c r="S131" s="1" t="s">
        <v>5</v>
      </c>
      <c r="T131" s="1" t="s">
        <v>5</v>
      </c>
      <c r="U131" s="1" t="s">
        <v>5</v>
      </c>
      <c r="V131" s="1"/>
      <c r="W131" s="1"/>
      <c r="X131" s="1">
        <v>0</v>
      </c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>
        <v>0</v>
      </c>
      <c r="AM131" s="1"/>
      <c r="BE131" t="s">
        <v>214</v>
      </c>
      <c r="BF131">
        <v>0</v>
      </c>
      <c r="BG131">
        <v>0</v>
      </c>
    </row>
    <row r="133" spans="1:39" ht="12.75">
      <c r="A133" s="2">
        <v>52</v>
      </c>
      <c r="B133" s="2">
        <f aca="true" t="shared" si="90" ref="B133:AM133">B143</f>
        <v>1</v>
      </c>
      <c r="C133" s="2">
        <f t="shared" si="90"/>
        <v>4</v>
      </c>
      <c r="D133" s="2">
        <f t="shared" si="90"/>
        <v>131</v>
      </c>
      <c r="E133" s="2">
        <f t="shared" si="90"/>
        <v>0</v>
      </c>
      <c r="F133" s="2" t="str">
        <f t="shared" si="90"/>
        <v>Оборудование</v>
      </c>
      <c r="G133" s="2" t="str">
        <f t="shared" si="90"/>
        <v>Оборудование</v>
      </c>
      <c r="H133" s="2">
        <f t="shared" si="90"/>
        <v>0</v>
      </c>
      <c r="I133" s="2">
        <f t="shared" si="90"/>
        <v>0</v>
      </c>
      <c r="J133" s="2">
        <f t="shared" si="90"/>
        <v>0</v>
      </c>
      <c r="K133" s="2">
        <f t="shared" si="90"/>
        <v>0</v>
      </c>
      <c r="L133" s="2">
        <f t="shared" si="90"/>
        <v>0</v>
      </c>
      <c r="M133" s="2">
        <f t="shared" si="90"/>
        <v>0</v>
      </c>
      <c r="N133" s="2">
        <f t="shared" si="90"/>
        <v>0</v>
      </c>
      <c r="O133" s="2">
        <f t="shared" si="90"/>
        <v>15884.5</v>
      </c>
      <c r="P133" s="2">
        <f t="shared" si="90"/>
        <v>15884.5</v>
      </c>
      <c r="Q133" s="2">
        <f t="shared" si="90"/>
        <v>0</v>
      </c>
      <c r="R133" s="2">
        <f t="shared" si="90"/>
        <v>0</v>
      </c>
      <c r="S133" s="2">
        <f t="shared" si="90"/>
        <v>0</v>
      </c>
      <c r="T133" s="2">
        <f t="shared" si="90"/>
        <v>0</v>
      </c>
      <c r="U133" s="2">
        <f t="shared" si="90"/>
        <v>0</v>
      </c>
      <c r="V133" s="2">
        <f t="shared" si="90"/>
        <v>0</v>
      </c>
      <c r="W133" s="2">
        <f t="shared" si="90"/>
        <v>0</v>
      </c>
      <c r="X133" s="2">
        <f t="shared" si="90"/>
        <v>0</v>
      </c>
      <c r="Y133" s="2">
        <f t="shared" si="90"/>
        <v>0</v>
      </c>
      <c r="Z133" s="2">
        <f t="shared" si="90"/>
        <v>0</v>
      </c>
      <c r="AA133" s="2">
        <f t="shared" si="90"/>
        <v>0</v>
      </c>
      <c r="AB133" s="2">
        <f t="shared" si="90"/>
        <v>15884.5</v>
      </c>
      <c r="AC133" s="2">
        <f t="shared" si="90"/>
        <v>15884.5</v>
      </c>
      <c r="AD133" s="2">
        <f t="shared" si="90"/>
        <v>0</v>
      </c>
      <c r="AE133" s="2">
        <f t="shared" si="90"/>
        <v>0</v>
      </c>
      <c r="AF133" s="2">
        <f t="shared" si="90"/>
        <v>0</v>
      </c>
      <c r="AG133" s="2">
        <f t="shared" si="90"/>
        <v>0</v>
      </c>
      <c r="AH133" s="2">
        <f t="shared" si="90"/>
        <v>0</v>
      </c>
      <c r="AI133" s="2">
        <f t="shared" si="90"/>
        <v>0</v>
      </c>
      <c r="AJ133" s="2">
        <f t="shared" si="90"/>
        <v>0</v>
      </c>
      <c r="AK133" s="2">
        <f t="shared" si="90"/>
        <v>0</v>
      </c>
      <c r="AL133" s="2">
        <f t="shared" si="90"/>
        <v>0</v>
      </c>
      <c r="AM133" s="2">
        <f t="shared" si="90"/>
        <v>0</v>
      </c>
    </row>
    <row r="135" spans="1:150" ht="12.75">
      <c r="A135">
        <v>17</v>
      </c>
      <c r="B135">
        <v>1</v>
      </c>
      <c r="E135" t="s">
        <v>17</v>
      </c>
      <c r="G135" t="s">
        <v>215</v>
      </c>
      <c r="H135" t="s">
        <v>43</v>
      </c>
      <c r="I135">
        <v>11</v>
      </c>
      <c r="J135">
        <v>0</v>
      </c>
      <c r="O135">
        <f>ROUND(CP135,2)</f>
        <v>4764.91</v>
      </c>
      <c r="P135">
        <f>ROUND(CQ135*I135,2)</f>
        <v>4764.91</v>
      </c>
      <c r="Q135">
        <f>ROUND(CR135*I135,2)</f>
        <v>0</v>
      </c>
      <c r="R135">
        <f>ROUND(CS135*I135,2)</f>
        <v>0</v>
      </c>
      <c r="S135">
        <f>ROUND(CT135*I135,2)</f>
        <v>0</v>
      </c>
      <c r="T135">
        <f>ROUND(CU135*I135,2)</f>
        <v>0</v>
      </c>
      <c r="U135">
        <f>ROUND(CV135*I135,2)</f>
        <v>0</v>
      </c>
      <c r="V135">
        <f>ROUND(CW135*I135,2)</f>
        <v>0</v>
      </c>
      <c r="W135">
        <f>ROUND(CX135*I135,2)</f>
        <v>0</v>
      </c>
      <c r="X135">
        <f>ROUND(CY135,2)</f>
        <v>0</v>
      </c>
      <c r="Y135">
        <f>ROUND(CZ135,2)</f>
        <v>0</v>
      </c>
      <c r="AA135">
        <v>0</v>
      </c>
      <c r="AB135">
        <f>(AC135+AD135+AF135)</f>
        <v>433.17400000000004</v>
      </c>
      <c r="AC135">
        <f aca="true" t="shared" si="91" ref="AC135:AJ136">AL135</f>
        <v>433.17400000000004</v>
      </c>
      <c r="AD135">
        <f t="shared" si="91"/>
        <v>0</v>
      </c>
      <c r="AE135">
        <f t="shared" si="91"/>
        <v>0</v>
      </c>
      <c r="AF135">
        <f t="shared" si="91"/>
        <v>0</v>
      </c>
      <c r="AG135">
        <f t="shared" si="91"/>
        <v>0</v>
      </c>
      <c r="AH135">
        <f t="shared" si="91"/>
        <v>0</v>
      </c>
      <c r="AI135">
        <f t="shared" si="91"/>
        <v>0</v>
      </c>
      <c r="AJ135">
        <f t="shared" si="91"/>
        <v>0</v>
      </c>
      <c r="AK135">
        <v>309.41</v>
      </c>
      <c r="AL135" s="1">
        <f>309.41*($AL$23)</f>
        <v>433.17400000000004</v>
      </c>
      <c r="AM135">
        <v>0</v>
      </c>
      <c r="AN135">
        <v>0</v>
      </c>
      <c r="AO135">
        <v>0</v>
      </c>
      <c r="AP135">
        <v>0</v>
      </c>
      <c r="AQ135">
        <v>0</v>
      </c>
      <c r="AR135">
        <v>0</v>
      </c>
      <c r="AS135">
        <v>0</v>
      </c>
      <c r="AT135">
        <v>0</v>
      </c>
      <c r="AU135">
        <v>0</v>
      </c>
      <c r="AV135">
        <v>1</v>
      </c>
      <c r="AW135">
        <v>1</v>
      </c>
      <c r="AX135">
        <v>1</v>
      </c>
      <c r="AY135">
        <v>1</v>
      </c>
      <c r="AZ135">
        <v>1</v>
      </c>
      <c r="BA135">
        <v>1</v>
      </c>
      <c r="BB135">
        <v>1</v>
      </c>
      <c r="BC135">
        <v>1</v>
      </c>
      <c r="BH135">
        <v>0</v>
      </c>
      <c r="BI135">
        <v>3</v>
      </c>
      <c r="BM135">
        <v>0</v>
      </c>
      <c r="BN135">
        <v>0</v>
      </c>
      <c r="BP135">
        <v>0</v>
      </c>
      <c r="BQ135">
        <v>1</v>
      </c>
      <c r="BR135">
        <v>0</v>
      </c>
      <c r="BS135">
        <v>1</v>
      </c>
      <c r="BT135">
        <v>1</v>
      </c>
      <c r="BU135">
        <v>1</v>
      </c>
      <c r="BV135">
        <v>1</v>
      </c>
      <c r="BW135">
        <v>1</v>
      </c>
      <c r="BX135">
        <v>1</v>
      </c>
      <c r="CF135">
        <v>0</v>
      </c>
      <c r="CG135">
        <v>0</v>
      </c>
      <c r="CM135">
        <v>0</v>
      </c>
      <c r="CO135">
        <v>0</v>
      </c>
      <c r="CP135">
        <f>(P135+Q135+S135)</f>
        <v>4764.91</v>
      </c>
      <c r="CQ135">
        <f>(AC135)*BC135</f>
        <v>433.17400000000004</v>
      </c>
      <c r="CR135">
        <f>(AD135)*BB135</f>
        <v>0</v>
      </c>
      <c r="CS135">
        <f>(AE135)*BS135</f>
        <v>0</v>
      </c>
      <c r="CT135">
        <f>(AF135)*BA135</f>
        <v>0</v>
      </c>
      <c r="CU135">
        <f aca="true" t="shared" si="92" ref="CU135:CX136">(AG135)*BT135</f>
        <v>0</v>
      </c>
      <c r="CV135">
        <f t="shared" si="92"/>
        <v>0</v>
      </c>
      <c r="CW135">
        <f t="shared" si="92"/>
        <v>0</v>
      </c>
      <c r="CX135">
        <f t="shared" si="92"/>
        <v>0</v>
      </c>
      <c r="CY135">
        <f>(((S135+R135)*AT135)/100)</f>
        <v>0</v>
      </c>
      <c r="CZ135">
        <f>(((S135+R135)*AU135)/100)</f>
        <v>0</v>
      </c>
      <c r="DN135">
        <v>0</v>
      </c>
      <c r="DO135">
        <v>0</v>
      </c>
      <c r="DP135">
        <v>1</v>
      </c>
      <c r="DQ135">
        <v>1</v>
      </c>
      <c r="DR135">
        <v>1</v>
      </c>
      <c r="DS135">
        <v>1</v>
      </c>
      <c r="DT135">
        <v>1</v>
      </c>
      <c r="DU135">
        <v>1013</v>
      </c>
      <c r="DV135" t="s">
        <v>43</v>
      </c>
      <c r="DW135" t="s">
        <v>43</v>
      </c>
      <c r="DX135">
        <v>1</v>
      </c>
      <c r="EE135">
        <v>6294893</v>
      </c>
      <c r="EF135">
        <v>1</v>
      </c>
      <c r="EG135" t="s">
        <v>216</v>
      </c>
      <c r="EH135">
        <v>0</v>
      </c>
      <c r="EJ135">
        <v>4</v>
      </c>
      <c r="EK135">
        <v>0</v>
      </c>
      <c r="EL135" t="s">
        <v>216</v>
      </c>
      <c r="EM135" t="s">
        <v>217</v>
      </c>
      <c r="ET135">
        <v>125929.87</v>
      </c>
    </row>
    <row r="136" spans="1:150" ht="12.75">
      <c r="A136">
        <v>17</v>
      </c>
      <c r="B136">
        <v>1</v>
      </c>
      <c r="E136" t="s">
        <v>24</v>
      </c>
      <c r="G136" t="s">
        <v>218</v>
      </c>
      <c r="H136" t="s">
        <v>43</v>
      </c>
      <c r="I136">
        <v>5</v>
      </c>
      <c r="J136">
        <v>0</v>
      </c>
      <c r="O136">
        <f>ROUND(CP136,2)</f>
        <v>1820.98</v>
      </c>
      <c r="P136">
        <f>ROUND(CQ136*I136,2)</f>
        <v>1820.98</v>
      </c>
      <c r="Q136">
        <f>ROUND(CR136*I136,2)</f>
        <v>0</v>
      </c>
      <c r="R136">
        <f>ROUND(CS136*I136,2)</f>
        <v>0</v>
      </c>
      <c r="S136">
        <f>ROUND(CT136*I136,2)</f>
        <v>0</v>
      </c>
      <c r="T136">
        <f>ROUND(CU136*I136,2)</f>
        <v>0</v>
      </c>
      <c r="U136">
        <f>ROUND(CV136*I136,2)</f>
        <v>0</v>
      </c>
      <c r="V136">
        <f>ROUND(CW136*I136,2)</f>
        <v>0</v>
      </c>
      <c r="W136">
        <f>ROUND(CX136*I136,2)</f>
        <v>0</v>
      </c>
      <c r="X136">
        <f>ROUND(CY136,2)</f>
        <v>0</v>
      </c>
      <c r="Y136">
        <f>ROUND(CZ136,2)</f>
        <v>0</v>
      </c>
      <c r="AA136">
        <v>0</v>
      </c>
      <c r="AB136">
        <f>(AC136+AD136+AF136)</f>
        <v>364.19599999999997</v>
      </c>
      <c r="AC136">
        <f t="shared" si="91"/>
        <v>364.19599999999997</v>
      </c>
      <c r="AD136">
        <f t="shared" si="91"/>
        <v>0</v>
      </c>
      <c r="AE136">
        <f t="shared" si="91"/>
        <v>0</v>
      </c>
      <c r="AF136">
        <f t="shared" si="91"/>
        <v>0</v>
      </c>
      <c r="AG136">
        <f t="shared" si="91"/>
        <v>0</v>
      </c>
      <c r="AH136">
        <f t="shared" si="91"/>
        <v>0</v>
      </c>
      <c r="AI136">
        <f t="shared" si="91"/>
        <v>0</v>
      </c>
      <c r="AJ136">
        <f t="shared" si="91"/>
        <v>0</v>
      </c>
      <c r="AK136">
        <v>260.14</v>
      </c>
      <c r="AL136" s="1">
        <f>260.14*($AL$23)</f>
        <v>364.19599999999997</v>
      </c>
      <c r="AM136">
        <v>0</v>
      </c>
      <c r="AN136">
        <v>0</v>
      </c>
      <c r="AO136">
        <v>0</v>
      </c>
      <c r="AP136">
        <v>0</v>
      </c>
      <c r="AQ136">
        <v>0</v>
      </c>
      <c r="AR136">
        <v>0</v>
      </c>
      <c r="AS136">
        <v>0</v>
      </c>
      <c r="AT136">
        <v>0</v>
      </c>
      <c r="AU136">
        <v>0</v>
      </c>
      <c r="AV136">
        <v>1</v>
      </c>
      <c r="AW136">
        <v>1</v>
      </c>
      <c r="AX136">
        <v>1</v>
      </c>
      <c r="AY136">
        <v>1</v>
      </c>
      <c r="AZ136">
        <v>1</v>
      </c>
      <c r="BA136">
        <v>1</v>
      </c>
      <c r="BB136">
        <v>1</v>
      </c>
      <c r="BC136">
        <v>1</v>
      </c>
      <c r="BH136">
        <v>0</v>
      </c>
      <c r="BI136">
        <v>3</v>
      </c>
      <c r="BM136">
        <v>0</v>
      </c>
      <c r="BN136">
        <v>0</v>
      </c>
      <c r="BP136">
        <v>0</v>
      </c>
      <c r="BQ136">
        <v>1</v>
      </c>
      <c r="BR136">
        <v>0</v>
      </c>
      <c r="BS136">
        <v>1</v>
      </c>
      <c r="BT136">
        <v>1</v>
      </c>
      <c r="BU136">
        <v>1</v>
      </c>
      <c r="BV136">
        <v>1</v>
      </c>
      <c r="BW136">
        <v>1</v>
      </c>
      <c r="BX136">
        <v>1</v>
      </c>
      <c r="CF136">
        <v>0</v>
      </c>
      <c r="CG136">
        <v>0</v>
      </c>
      <c r="CM136">
        <v>0</v>
      </c>
      <c r="CO136">
        <v>0</v>
      </c>
      <c r="CP136">
        <f>(P136+Q136+S136)</f>
        <v>1820.98</v>
      </c>
      <c r="CQ136">
        <f>(AC136)*BC136</f>
        <v>364.19599999999997</v>
      </c>
      <c r="CR136">
        <f>(AD136)*BB136</f>
        <v>0</v>
      </c>
      <c r="CS136">
        <f>(AE136)*BS136</f>
        <v>0</v>
      </c>
      <c r="CT136">
        <f>(AF136)*BA136</f>
        <v>0</v>
      </c>
      <c r="CU136">
        <f t="shared" si="92"/>
        <v>0</v>
      </c>
      <c r="CV136">
        <f t="shared" si="92"/>
        <v>0</v>
      </c>
      <c r="CW136">
        <f t="shared" si="92"/>
        <v>0</v>
      </c>
      <c r="CX136">
        <f t="shared" si="92"/>
        <v>0</v>
      </c>
      <c r="CY136">
        <f>(((S136+R136)*AT136)/100)</f>
        <v>0</v>
      </c>
      <c r="CZ136">
        <f>(((S136+R136)*AU136)/100)</f>
        <v>0</v>
      </c>
      <c r="DN136">
        <v>0</v>
      </c>
      <c r="DO136">
        <v>0</v>
      </c>
      <c r="DP136">
        <v>1</v>
      </c>
      <c r="DQ136">
        <v>1</v>
      </c>
      <c r="DR136">
        <v>1</v>
      </c>
      <c r="DS136">
        <v>1</v>
      </c>
      <c r="DT136">
        <v>1</v>
      </c>
      <c r="DU136">
        <v>1013</v>
      </c>
      <c r="DV136" t="s">
        <v>43</v>
      </c>
      <c r="DW136" t="s">
        <v>43</v>
      </c>
      <c r="DX136">
        <v>1</v>
      </c>
      <c r="EE136">
        <v>6294893</v>
      </c>
      <c r="EF136">
        <v>1</v>
      </c>
      <c r="EG136" t="s">
        <v>216</v>
      </c>
      <c r="EH136">
        <v>0</v>
      </c>
      <c r="EJ136">
        <v>4</v>
      </c>
      <c r="EK136">
        <v>0</v>
      </c>
      <c r="EL136" t="s">
        <v>216</v>
      </c>
      <c r="EM136" t="s">
        <v>217</v>
      </c>
      <c r="ET136">
        <v>48125.9</v>
      </c>
    </row>
    <row r="137" spans="1:128" ht="12.75">
      <c r="A137">
        <v>19</v>
      </c>
      <c r="B137">
        <v>1</v>
      </c>
      <c r="G137" t="s">
        <v>219</v>
      </c>
      <c r="AA137">
        <v>1</v>
      </c>
      <c r="DX137">
        <v>0</v>
      </c>
    </row>
    <row r="138" spans="1:150" ht="12.75">
      <c r="A138">
        <v>17</v>
      </c>
      <c r="B138">
        <v>1</v>
      </c>
      <c r="E138" t="s">
        <v>28</v>
      </c>
      <c r="G138" t="s">
        <v>220</v>
      </c>
      <c r="H138" t="s">
        <v>43</v>
      </c>
      <c r="I138">
        <v>2</v>
      </c>
      <c r="J138">
        <v>0</v>
      </c>
      <c r="O138">
        <f>ROUND(CP138,2)</f>
        <v>1560.8</v>
      </c>
      <c r="P138">
        <f>ROUND(CQ138*I138,2)</f>
        <v>1560.8</v>
      </c>
      <c r="Q138">
        <f>ROUND(CR138*I138,2)</f>
        <v>0</v>
      </c>
      <c r="R138">
        <f>ROUND(CS138*I138,2)</f>
        <v>0</v>
      </c>
      <c r="S138">
        <f>ROUND(CT138*I138,2)</f>
        <v>0</v>
      </c>
      <c r="T138">
        <f>ROUND(CU138*I138,2)</f>
        <v>0</v>
      </c>
      <c r="U138">
        <f>ROUND(CV138*I138,2)</f>
        <v>0</v>
      </c>
      <c r="V138">
        <f>ROUND(CW138*I138,2)</f>
        <v>0</v>
      </c>
      <c r="W138">
        <f>ROUND(CX138*I138,2)</f>
        <v>0</v>
      </c>
      <c r="X138">
        <f aca="true" t="shared" si="93" ref="X138:Y141">ROUND(CY138,2)</f>
        <v>0</v>
      </c>
      <c r="Y138">
        <f t="shared" si="93"/>
        <v>0</v>
      </c>
      <c r="AA138">
        <v>0</v>
      </c>
      <c r="AB138">
        <f>(AC138+AD138+AF138)</f>
        <v>780.4019999999999</v>
      </c>
      <c r="AC138">
        <f aca="true" t="shared" si="94" ref="AC138:AJ141">AL138</f>
        <v>780.4019999999999</v>
      </c>
      <c r="AD138">
        <f t="shared" si="94"/>
        <v>0</v>
      </c>
      <c r="AE138">
        <f t="shared" si="94"/>
        <v>0</v>
      </c>
      <c r="AF138">
        <f t="shared" si="94"/>
        <v>0</v>
      </c>
      <c r="AG138">
        <f t="shared" si="94"/>
        <v>0</v>
      </c>
      <c r="AH138">
        <f t="shared" si="94"/>
        <v>0</v>
      </c>
      <c r="AI138">
        <f t="shared" si="94"/>
        <v>0</v>
      </c>
      <c r="AJ138">
        <f t="shared" si="94"/>
        <v>0</v>
      </c>
      <c r="AK138">
        <v>557.43</v>
      </c>
      <c r="AL138" s="1">
        <f>557.43*($AL$23)</f>
        <v>780.4019999999999</v>
      </c>
      <c r="AM138">
        <v>0</v>
      </c>
      <c r="AN138">
        <v>0</v>
      </c>
      <c r="AO138">
        <v>0</v>
      </c>
      <c r="AP138">
        <v>0</v>
      </c>
      <c r="AQ138">
        <v>0</v>
      </c>
      <c r="AR138">
        <v>0</v>
      </c>
      <c r="AS138">
        <v>0</v>
      </c>
      <c r="AT138">
        <v>0</v>
      </c>
      <c r="AU138">
        <v>0</v>
      </c>
      <c r="AV138">
        <v>1</v>
      </c>
      <c r="AW138">
        <v>1</v>
      </c>
      <c r="AX138">
        <v>1</v>
      </c>
      <c r="AY138">
        <v>1</v>
      </c>
      <c r="AZ138">
        <v>1</v>
      </c>
      <c r="BA138">
        <v>1</v>
      </c>
      <c r="BB138">
        <v>1</v>
      </c>
      <c r="BC138">
        <v>1</v>
      </c>
      <c r="BH138">
        <v>0</v>
      </c>
      <c r="BI138">
        <v>4</v>
      </c>
      <c r="BM138">
        <v>0</v>
      </c>
      <c r="BN138">
        <v>0</v>
      </c>
      <c r="BP138">
        <v>0</v>
      </c>
      <c r="BQ138">
        <v>1</v>
      </c>
      <c r="BR138">
        <v>0</v>
      </c>
      <c r="BS138">
        <v>1</v>
      </c>
      <c r="BT138">
        <v>1</v>
      </c>
      <c r="BU138">
        <v>1</v>
      </c>
      <c r="BV138">
        <v>1</v>
      </c>
      <c r="BW138">
        <v>1</v>
      </c>
      <c r="BX138">
        <v>1</v>
      </c>
      <c r="CF138">
        <v>0</v>
      </c>
      <c r="CG138">
        <v>0</v>
      </c>
      <c r="CM138">
        <v>0</v>
      </c>
      <c r="CO138">
        <v>0</v>
      </c>
      <c r="CP138">
        <f>(P138+Q138+S138)</f>
        <v>1560.8</v>
      </c>
      <c r="CQ138">
        <f>(AC138)*BC138</f>
        <v>780.4019999999999</v>
      </c>
      <c r="CR138">
        <f>(AD138)*BB138</f>
        <v>0</v>
      </c>
      <c r="CS138">
        <f>(AE138)*BS138</f>
        <v>0</v>
      </c>
      <c r="CT138">
        <f>(AF138)*BA138</f>
        <v>0</v>
      </c>
      <c r="CU138">
        <f aca="true" t="shared" si="95" ref="CU138:CX141">(AG138)*BT138</f>
        <v>0</v>
      </c>
      <c r="CV138">
        <f t="shared" si="95"/>
        <v>0</v>
      </c>
      <c r="CW138">
        <f t="shared" si="95"/>
        <v>0</v>
      </c>
      <c r="CX138">
        <f t="shared" si="95"/>
        <v>0</v>
      </c>
      <c r="CY138">
        <f>(((S138+R138)*AT138)/100)</f>
        <v>0</v>
      </c>
      <c r="CZ138">
        <f>(((S138+R138)*AU138)/100)</f>
        <v>0</v>
      </c>
      <c r="DN138">
        <v>0</v>
      </c>
      <c r="DO138">
        <v>0</v>
      </c>
      <c r="DP138">
        <v>1</v>
      </c>
      <c r="DQ138">
        <v>1</v>
      </c>
      <c r="DR138">
        <v>1</v>
      </c>
      <c r="DS138">
        <v>1</v>
      </c>
      <c r="DT138">
        <v>1</v>
      </c>
      <c r="DU138">
        <v>1013</v>
      </c>
      <c r="DV138" t="s">
        <v>43</v>
      </c>
      <c r="DW138" t="s">
        <v>43</v>
      </c>
      <c r="DX138">
        <v>1</v>
      </c>
      <c r="EE138">
        <v>6294893</v>
      </c>
      <c r="EF138">
        <v>1</v>
      </c>
      <c r="EG138" t="s">
        <v>216</v>
      </c>
      <c r="EH138">
        <v>0</v>
      </c>
      <c r="EJ138">
        <v>4</v>
      </c>
      <c r="EK138">
        <v>0</v>
      </c>
      <c r="EL138" t="s">
        <v>216</v>
      </c>
      <c r="EM138" t="s">
        <v>217</v>
      </c>
      <c r="ET138">
        <v>41249.82</v>
      </c>
    </row>
    <row r="139" spans="1:150" ht="12.75">
      <c r="A139">
        <v>17</v>
      </c>
      <c r="B139">
        <v>1</v>
      </c>
      <c r="E139" t="s">
        <v>48</v>
      </c>
      <c r="G139" t="s">
        <v>221</v>
      </c>
      <c r="H139" t="s">
        <v>43</v>
      </c>
      <c r="I139">
        <v>2</v>
      </c>
      <c r="J139">
        <v>0</v>
      </c>
      <c r="O139">
        <f>ROUND(CP139,2)</f>
        <v>1608.1</v>
      </c>
      <c r="P139">
        <f>ROUND(CQ139*I139,2)</f>
        <v>1608.1</v>
      </c>
      <c r="Q139">
        <f>ROUND(CR139*I139,2)</f>
        <v>0</v>
      </c>
      <c r="R139">
        <f>ROUND(CS139*I139,2)</f>
        <v>0</v>
      </c>
      <c r="S139">
        <f>ROUND(CT139*I139,2)</f>
        <v>0</v>
      </c>
      <c r="T139">
        <f>ROUND(CU139*I139,2)</f>
        <v>0</v>
      </c>
      <c r="U139">
        <f>ROUND(CV139*I139,2)</f>
        <v>0</v>
      </c>
      <c r="V139">
        <f>ROUND(CW139*I139,2)</f>
        <v>0</v>
      </c>
      <c r="W139">
        <f>ROUND(CX139*I139,2)</f>
        <v>0</v>
      </c>
      <c r="X139">
        <f t="shared" si="93"/>
        <v>0</v>
      </c>
      <c r="Y139">
        <f t="shared" si="93"/>
        <v>0</v>
      </c>
      <c r="AA139">
        <v>0</v>
      </c>
      <c r="AB139">
        <f>(AC139+AD139+AF139)</f>
        <v>804.048</v>
      </c>
      <c r="AC139">
        <f t="shared" si="94"/>
        <v>804.048</v>
      </c>
      <c r="AD139">
        <f t="shared" si="94"/>
        <v>0</v>
      </c>
      <c r="AE139">
        <f t="shared" si="94"/>
        <v>0</v>
      </c>
      <c r="AF139">
        <f t="shared" si="94"/>
        <v>0</v>
      </c>
      <c r="AG139">
        <f t="shared" si="94"/>
        <v>0</v>
      </c>
      <c r="AH139">
        <f t="shared" si="94"/>
        <v>0</v>
      </c>
      <c r="AI139">
        <f t="shared" si="94"/>
        <v>0</v>
      </c>
      <c r="AJ139">
        <f t="shared" si="94"/>
        <v>0</v>
      </c>
      <c r="AK139">
        <v>574.32</v>
      </c>
      <c r="AL139" s="1">
        <f>574.32*($AL$23)</f>
        <v>804.048</v>
      </c>
      <c r="AM139">
        <v>0</v>
      </c>
      <c r="AN139">
        <v>0</v>
      </c>
      <c r="AO139">
        <v>0</v>
      </c>
      <c r="AP139">
        <v>0</v>
      </c>
      <c r="AQ139">
        <v>0</v>
      </c>
      <c r="AR139">
        <v>0</v>
      </c>
      <c r="AS139">
        <v>0</v>
      </c>
      <c r="AT139">
        <v>0</v>
      </c>
      <c r="AU139">
        <v>0</v>
      </c>
      <c r="AV139">
        <v>1</v>
      </c>
      <c r="AW139">
        <v>1</v>
      </c>
      <c r="AX139">
        <v>1</v>
      </c>
      <c r="AY139">
        <v>1</v>
      </c>
      <c r="AZ139">
        <v>1</v>
      </c>
      <c r="BA139">
        <v>1</v>
      </c>
      <c r="BB139">
        <v>1</v>
      </c>
      <c r="BC139">
        <v>1</v>
      </c>
      <c r="BH139">
        <v>0</v>
      </c>
      <c r="BI139">
        <v>4</v>
      </c>
      <c r="BM139">
        <v>0</v>
      </c>
      <c r="BN139">
        <v>0</v>
      </c>
      <c r="BP139">
        <v>0</v>
      </c>
      <c r="BQ139">
        <v>1</v>
      </c>
      <c r="BR139">
        <v>0</v>
      </c>
      <c r="BS139">
        <v>1</v>
      </c>
      <c r="BT139">
        <v>1</v>
      </c>
      <c r="BU139">
        <v>1</v>
      </c>
      <c r="BV139">
        <v>1</v>
      </c>
      <c r="BW139">
        <v>1</v>
      </c>
      <c r="BX139">
        <v>1</v>
      </c>
      <c r="CF139">
        <v>0</v>
      </c>
      <c r="CG139">
        <v>0</v>
      </c>
      <c r="CM139">
        <v>0</v>
      </c>
      <c r="CO139">
        <v>0</v>
      </c>
      <c r="CP139">
        <f>(P139+Q139+S139)</f>
        <v>1608.1</v>
      </c>
      <c r="CQ139">
        <f>(AC139)*BC139</f>
        <v>804.048</v>
      </c>
      <c r="CR139">
        <f>(AD139)*BB139</f>
        <v>0</v>
      </c>
      <c r="CS139">
        <f>(AE139)*BS139</f>
        <v>0</v>
      </c>
      <c r="CT139">
        <f>(AF139)*BA139</f>
        <v>0</v>
      </c>
      <c r="CU139">
        <f t="shared" si="95"/>
        <v>0</v>
      </c>
      <c r="CV139">
        <f t="shared" si="95"/>
        <v>0</v>
      </c>
      <c r="CW139">
        <f t="shared" si="95"/>
        <v>0</v>
      </c>
      <c r="CX139">
        <f t="shared" si="95"/>
        <v>0</v>
      </c>
      <c r="CY139">
        <f>(((S139+R139)*AT139)/100)</f>
        <v>0</v>
      </c>
      <c r="CZ139">
        <f>(((S139+R139)*AU139)/100)</f>
        <v>0</v>
      </c>
      <c r="DN139">
        <v>0</v>
      </c>
      <c r="DO139">
        <v>0</v>
      </c>
      <c r="DP139">
        <v>1</v>
      </c>
      <c r="DQ139">
        <v>1</v>
      </c>
      <c r="DR139">
        <v>1</v>
      </c>
      <c r="DS139">
        <v>1</v>
      </c>
      <c r="DT139">
        <v>1</v>
      </c>
      <c r="DU139">
        <v>1013</v>
      </c>
      <c r="DV139" t="s">
        <v>43</v>
      </c>
      <c r="DW139" t="s">
        <v>43</v>
      </c>
      <c r="DX139">
        <v>1</v>
      </c>
      <c r="EE139">
        <v>6294893</v>
      </c>
      <c r="EF139">
        <v>1</v>
      </c>
      <c r="EG139" t="s">
        <v>216</v>
      </c>
      <c r="EH139">
        <v>0</v>
      </c>
      <c r="EJ139">
        <v>4</v>
      </c>
      <c r="EK139">
        <v>0</v>
      </c>
      <c r="EL139" t="s">
        <v>216</v>
      </c>
      <c r="EM139" t="s">
        <v>217</v>
      </c>
      <c r="ET139">
        <v>42499.68</v>
      </c>
    </row>
    <row r="140" spans="1:150" ht="12.75">
      <c r="A140">
        <v>17</v>
      </c>
      <c r="B140">
        <v>1</v>
      </c>
      <c r="E140" t="s">
        <v>52</v>
      </c>
      <c r="G140" t="s">
        <v>222</v>
      </c>
      <c r="H140" t="s">
        <v>43</v>
      </c>
      <c r="I140">
        <v>1</v>
      </c>
      <c r="J140">
        <v>0</v>
      </c>
      <c r="O140">
        <f>ROUND(CP140,2)</f>
        <v>1135.13</v>
      </c>
      <c r="P140">
        <f>ROUND(CQ140*I140,2)</f>
        <v>1135.13</v>
      </c>
      <c r="Q140">
        <f>ROUND(CR140*I140,2)</f>
        <v>0</v>
      </c>
      <c r="R140">
        <f>ROUND(CS140*I140,2)</f>
        <v>0</v>
      </c>
      <c r="S140">
        <f>ROUND(CT140*I140,2)</f>
        <v>0</v>
      </c>
      <c r="T140">
        <f>ROUND(CU140*I140,2)</f>
        <v>0</v>
      </c>
      <c r="U140">
        <f>ROUND(CV140*I140,2)</f>
        <v>0</v>
      </c>
      <c r="V140">
        <f>ROUND(CW140*I140,2)</f>
        <v>0</v>
      </c>
      <c r="W140">
        <f>ROUND(CX140*I140,2)</f>
        <v>0</v>
      </c>
      <c r="X140">
        <f t="shared" si="93"/>
        <v>0</v>
      </c>
      <c r="Y140">
        <f t="shared" si="93"/>
        <v>0</v>
      </c>
      <c r="AA140">
        <v>0</v>
      </c>
      <c r="AB140">
        <f>(AC140+AD140+AF140)</f>
        <v>1135.1339999999998</v>
      </c>
      <c r="AC140">
        <f t="shared" si="94"/>
        <v>1135.1339999999998</v>
      </c>
      <c r="AD140">
        <f t="shared" si="94"/>
        <v>0</v>
      </c>
      <c r="AE140">
        <f t="shared" si="94"/>
        <v>0</v>
      </c>
      <c r="AF140">
        <f t="shared" si="94"/>
        <v>0</v>
      </c>
      <c r="AG140">
        <f t="shared" si="94"/>
        <v>0</v>
      </c>
      <c r="AH140">
        <f t="shared" si="94"/>
        <v>0</v>
      </c>
      <c r="AI140">
        <f t="shared" si="94"/>
        <v>0</v>
      </c>
      <c r="AJ140">
        <f t="shared" si="94"/>
        <v>0</v>
      </c>
      <c r="AK140">
        <v>810.81</v>
      </c>
      <c r="AL140" s="1">
        <f>810.81*($AL$23)</f>
        <v>1135.1339999999998</v>
      </c>
      <c r="AM140">
        <v>0</v>
      </c>
      <c r="AN140">
        <v>0</v>
      </c>
      <c r="AO140">
        <v>0</v>
      </c>
      <c r="AP140">
        <v>0</v>
      </c>
      <c r="AQ140">
        <v>0</v>
      </c>
      <c r="AR140">
        <v>0</v>
      </c>
      <c r="AS140">
        <v>0</v>
      </c>
      <c r="AT140">
        <v>0</v>
      </c>
      <c r="AU140">
        <v>0</v>
      </c>
      <c r="AV140">
        <v>1</v>
      </c>
      <c r="AW140">
        <v>1</v>
      </c>
      <c r="AX140">
        <v>1</v>
      </c>
      <c r="AY140">
        <v>1</v>
      </c>
      <c r="AZ140">
        <v>1</v>
      </c>
      <c r="BA140">
        <v>1</v>
      </c>
      <c r="BB140">
        <v>1</v>
      </c>
      <c r="BC140">
        <v>1</v>
      </c>
      <c r="BH140">
        <v>0</v>
      </c>
      <c r="BI140">
        <v>4</v>
      </c>
      <c r="BM140">
        <v>0</v>
      </c>
      <c r="BN140">
        <v>0</v>
      </c>
      <c r="BP140">
        <v>0</v>
      </c>
      <c r="BQ140">
        <v>1</v>
      </c>
      <c r="BR140">
        <v>0</v>
      </c>
      <c r="BS140">
        <v>1</v>
      </c>
      <c r="BT140">
        <v>1</v>
      </c>
      <c r="BU140">
        <v>1</v>
      </c>
      <c r="BV140">
        <v>1</v>
      </c>
      <c r="BW140">
        <v>1</v>
      </c>
      <c r="BX140">
        <v>1</v>
      </c>
      <c r="CF140">
        <v>0</v>
      </c>
      <c r="CG140">
        <v>0</v>
      </c>
      <c r="CM140">
        <v>0</v>
      </c>
      <c r="CO140">
        <v>0</v>
      </c>
      <c r="CP140">
        <f>(P140+Q140+S140)</f>
        <v>1135.13</v>
      </c>
      <c r="CQ140">
        <f>(AC140)*BC140</f>
        <v>1135.1339999999998</v>
      </c>
      <c r="CR140">
        <f>(AD140)*BB140</f>
        <v>0</v>
      </c>
      <c r="CS140">
        <f>(AE140)*BS140</f>
        <v>0</v>
      </c>
      <c r="CT140">
        <f>(AF140)*BA140</f>
        <v>0</v>
      </c>
      <c r="CU140">
        <f t="shared" si="95"/>
        <v>0</v>
      </c>
      <c r="CV140">
        <f t="shared" si="95"/>
        <v>0</v>
      </c>
      <c r="CW140">
        <f t="shared" si="95"/>
        <v>0</v>
      </c>
      <c r="CX140">
        <f t="shared" si="95"/>
        <v>0</v>
      </c>
      <c r="CY140">
        <f>(((S140+R140)*AT140)/100)</f>
        <v>0</v>
      </c>
      <c r="CZ140">
        <f>(((S140+R140)*AU140)/100)</f>
        <v>0</v>
      </c>
      <c r="DN140">
        <v>0</v>
      </c>
      <c r="DO140">
        <v>0</v>
      </c>
      <c r="DP140">
        <v>1</v>
      </c>
      <c r="DQ140">
        <v>1</v>
      </c>
      <c r="DR140">
        <v>1</v>
      </c>
      <c r="DS140">
        <v>1</v>
      </c>
      <c r="DT140">
        <v>1</v>
      </c>
      <c r="DU140">
        <v>1013</v>
      </c>
      <c r="DV140" t="s">
        <v>43</v>
      </c>
      <c r="DW140" t="s">
        <v>43</v>
      </c>
      <c r="DX140">
        <v>1</v>
      </c>
      <c r="EE140">
        <v>6294893</v>
      </c>
      <c r="EF140">
        <v>1</v>
      </c>
      <c r="EG140" t="s">
        <v>216</v>
      </c>
      <c r="EH140">
        <v>0</v>
      </c>
      <c r="EJ140">
        <v>4</v>
      </c>
      <c r="EK140">
        <v>0</v>
      </c>
      <c r="EL140" t="s">
        <v>216</v>
      </c>
      <c r="EM140" t="s">
        <v>217</v>
      </c>
      <c r="ET140">
        <v>29999.97</v>
      </c>
    </row>
    <row r="141" spans="1:150" ht="12.75">
      <c r="A141">
        <v>17</v>
      </c>
      <c r="B141">
        <v>1</v>
      </c>
      <c r="E141" t="s">
        <v>57</v>
      </c>
      <c r="G141" t="s">
        <v>223</v>
      </c>
      <c r="H141" t="s">
        <v>43</v>
      </c>
      <c r="I141">
        <v>2</v>
      </c>
      <c r="J141">
        <v>0</v>
      </c>
      <c r="O141">
        <f>ROUND(CP141,2)</f>
        <v>4994.58</v>
      </c>
      <c r="P141">
        <f>ROUND(CQ141*I141,2)</f>
        <v>4994.58</v>
      </c>
      <c r="Q141">
        <f>ROUND(CR141*I141,2)</f>
        <v>0</v>
      </c>
      <c r="R141">
        <f>ROUND(CS141*I141,2)</f>
        <v>0</v>
      </c>
      <c r="S141">
        <f>ROUND(CT141*I141,2)</f>
        <v>0</v>
      </c>
      <c r="T141">
        <f>ROUND(CU141*I141,2)</f>
        <v>0</v>
      </c>
      <c r="U141">
        <f>ROUND(CV141*I141,2)</f>
        <v>0</v>
      </c>
      <c r="V141">
        <f>ROUND(CW141*I141,2)</f>
        <v>0</v>
      </c>
      <c r="W141">
        <f>ROUND(CX141*I141,2)</f>
        <v>0</v>
      </c>
      <c r="X141">
        <f t="shared" si="93"/>
        <v>0</v>
      </c>
      <c r="Y141">
        <f t="shared" si="93"/>
        <v>0</v>
      </c>
      <c r="AA141">
        <v>0</v>
      </c>
      <c r="AB141">
        <f>(AC141+AD141+AF141)</f>
        <v>2497.292</v>
      </c>
      <c r="AC141">
        <f t="shared" si="94"/>
        <v>2497.292</v>
      </c>
      <c r="AD141">
        <f t="shared" si="94"/>
        <v>0</v>
      </c>
      <c r="AE141">
        <f t="shared" si="94"/>
        <v>0</v>
      </c>
      <c r="AF141">
        <f t="shared" si="94"/>
        <v>0</v>
      </c>
      <c r="AG141">
        <f t="shared" si="94"/>
        <v>0</v>
      </c>
      <c r="AH141">
        <f t="shared" si="94"/>
        <v>0</v>
      </c>
      <c r="AI141">
        <f t="shared" si="94"/>
        <v>0</v>
      </c>
      <c r="AJ141">
        <f t="shared" si="94"/>
        <v>0</v>
      </c>
      <c r="AK141">
        <v>1783.78</v>
      </c>
      <c r="AL141" s="1">
        <f>1783.78*($AL$23)</f>
        <v>2497.292</v>
      </c>
      <c r="AM141">
        <v>0</v>
      </c>
      <c r="AN141">
        <v>0</v>
      </c>
      <c r="AO141">
        <v>0</v>
      </c>
      <c r="AP141">
        <v>0</v>
      </c>
      <c r="AQ141">
        <v>0</v>
      </c>
      <c r="AR141">
        <v>0</v>
      </c>
      <c r="AS141">
        <v>0</v>
      </c>
      <c r="AT141">
        <v>0</v>
      </c>
      <c r="AU141">
        <v>0</v>
      </c>
      <c r="AV141">
        <v>1</v>
      </c>
      <c r="AW141">
        <v>1</v>
      </c>
      <c r="AX141">
        <v>1</v>
      </c>
      <c r="AY141">
        <v>1</v>
      </c>
      <c r="AZ141">
        <v>1</v>
      </c>
      <c r="BA141">
        <v>1</v>
      </c>
      <c r="BB141">
        <v>1</v>
      </c>
      <c r="BC141">
        <v>1</v>
      </c>
      <c r="BH141">
        <v>0</v>
      </c>
      <c r="BI141">
        <v>4</v>
      </c>
      <c r="BM141">
        <v>0</v>
      </c>
      <c r="BN141">
        <v>0</v>
      </c>
      <c r="BP141">
        <v>0</v>
      </c>
      <c r="BQ141">
        <v>1</v>
      </c>
      <c r="BR141">
        <v>0</v>
      </c>
      <c r="BS141">
        <v>1</v>
      </c>
      <c r="BT141">
        <v>1</v>
      </c>
      <c r="BU141">
        <v>1</v>
      </c>
      <c r="BV141">
        <v>1</v>
      </c>
      <c r="BW141">
        <v>1</v>
      </c>
      <c r="BX141">
        <v>1</v>
      </c>
      <c r="CF141">
        <v>0</v>
      </c>
      <c r="CG141">
        <v>0</v>
      </c>
      <c r="CM141">
        <v>0</v>
      </c>
      <c r="CO141">
        <v>0</v>
      </c>
      <c r="CP141">
        <f>(P141+Q141+S141)</f>
        <v>4994.58</v>
      </c>
      <c r="CQ141">
        <f>(AC141)*BC141</f>
        <v>2497.292</v>
      </c>
      <c r="CR141">
        <f>(AD141)*BB141</f>
        <v>0</v>
      </c>
      <c r="CS141">
        <f>(AE141)*BS141</f>
        <v>0</v>
      </c>
      <c r="CT141">
        <f>(AF141)*BA141</f>
        <v>0</v>
      </c>
      <c r="CU141">
        <f t="shared" si="95"/>
        <v>0</v>
      </c>
      <c r="CV141">
        <f t="shared" si="95"/>
        <v>0</v>
      </c>
      <c r="CW141">
        <f t="shared" si="95"/>
        <v>0</v>
      </c>
      <c r="CX141">
        <f t="shared" si="95"/>
        <v>0</v>
      </c>
      <c r="CY141">
        <f>(((S141+R141)*AT141)/100)</f>
        <v>0</v>
      </c>
      <c r="CZ141">
        <f>(((S141+R141)*AU141)/100)</f>
        <v>0</v>
      </c>
      <c r="DN141">
        <v>0</v>
      </c>
      <c r="DO141">
        <v>0</v>
      </c>
      <c r="DP141">
        <v>1</v>
      </c>
      <c r="DQ141">
        <v>1</v>
      </c>
      <c r="DR141">
        <v>1</v>
      </c>
      <c r="DS141">
        <v>1</v>
      </c>
      <c r="DT141">
        <v>1</v>
      </c>
      <c r="DU141">
        <v>1013</v>
      </c>
      <c r="DV141" t="s">
        <v>43</v>
      </c>
      <c r="DW141" t="s">
        <v>43</v>
      </c>
      <c r="DX141">
        <v>1</v>
      </c>
      <c r="EE141">
        <v>6294893</v>
      </c>
      <c r="EF141">
        <v>1</v>
      </c>
      <c r="EG141" t="s">
        <v>216</v>
      </c>
      <c r="EH141">
        <v>0</v>
      </c>
      <c r="EJ141">
        <v>4</v>
      </c>
      <c r="EK141">
        <v>0</v>
      </c>
      <c r="EL141" t="s">
        <v>216</v>
      </c>
      <c r="EM141" t="s">
        <v>217</v>
      </c>
      <c r="ET141">
        <v>131999.72</v>
      </c>
    </row>
    <row r="143" spans="1:39" ht="12.75">
      <c r="A143" s="2">
        <v>51</v>
      </c>
      <c r="B143" s="2">
        <f>B131</f>
        <v>1</v>
      </c>
      <c r="C143" s="2">
        <f>A131</f>
        <v>4</v>
      </c>
      <c r="D143" s="2">
        <f>ROW(A131)</f>
        <v>131</v>
      </c>
      <c r="E143" s="2"/>
      <c r="F143" s="2" t="str">
        <f>IF(F131&lt;&gt;"",F131,"")</f>
        <v>Оборудование</v>
      </c>
      <c r="G143" s="2" t="str">
        <f>IF(G131&lt;&gt;"",G131,"")</f>
        <v>Оборудование</v>
      </c>
      <c r="H143" s="2"/>
      <c r="I143" s="2"/>
      <c r="J143" s="2"/>
      <c r="K143" s="2"/>
      <c r="L143" s="2"/>
      <c r="M143" s="2"/>
      <c r="N143" s="2"/>
      <c r="O143" s="2">
        <f aca="true" t="shared" si="96" ref="O143:Y143">ROUND(AB143,2)</f>
        <v>15884.5</v>
      </c>
      <c r="P143" s="2">
        <f t="shared" si="96"/>
        <v>15884.5</v>
      </c>
      <c r="Q143" s="2">
        <f t="shared" si="96"/>
        <v>0</v>
      </c>
      <c r="R143" s="2">
        <f t="shared" si="96"/>
        <v>0</v>
      </c>
      <c r="S143" s="2">
        <f t="shared" si="96"/>
        <v>0</v>
      </c>
      <c r="T143" s="2">
        <f t="shared" si="96"/>
        <v>0</v>
      </c>
      <c r="U143" s="2">
        <f t="shared" si="96"/>
        <v>0</v>
      </c>
      <c r="V143" s="2">
        <f t="shared" si="96"/>
        <v>0</v>
      </c>
      <c r="W143" s="2">
        <f t="shared" si="96"/>
        <v>0</v>
      </c>
      <c r="X143" s="2">
        <f t="shared" si="96"/>
        <v>0</v>
      </c>
      <c r="Y143" s="2">
        <f t="shared" si="96"/>
        <v>0</v>
      </c>
      <c r="Z143" s="2"/>
      <c r="AA143" s="2"/>
      <c r="AB143" s="2">
        <f>ROUND(SUMIF(AA135:AA141,"=0",O135:O141),2)</f>
        <v>15884.5</v>
      </c>
      <c r="AC143" s="2">
        <f>ROUND(SUMIF(AA135:AA141,"=0",P135:P141),2)</f>
        <v>15884.5</v>
      </c>
      <c r="AD143" s="2">
        <f>ROUND(SUMIF(AA135:AA141,"=0",Q135:Q141),2)</f>
        <v>0</v>
      </c>
      <c r="AE143" s="2">
        <f>ROUND(SUMIF(AA135:AA141,"=0",R135:R141),2)</f>
        <v>0</v>
      </c>
      <c r="AF143" s="2">
        <f>ROUND(SUMIF(AA135:AA141,"=0",S135:S141),2)</f>
        <v>0</v>
      </c>
      <c r="AG143" s="2">
        <f>ROUND(SUMIF(AA135:AA141,"=0",T135:T141),2)</f>
        <v>0</v>
      </c>
      <c r="AH143" s="2">
        <f>ROUND(SUMIF(AA135:AA141,"=0",U135:U141),2)</f>
        <v>0</v>
      </c>
      <c r="AI143" s="2">
        <f>ROUND(SUMIF(AA135:AA141,"=0",V135:V141),2)</f>
        <v>0</v>
      </c>
      <c r="AJ143" s="2">
        <f>ROUND(SUMIF(AA135:AA141,"=0",W135:W141),2)</f>
        <v>0</v>
      </c>
      <c r="AK143" s="2">
        <f>ROUND(SUMIF(AA135:AA141,"=0",X135:X141),2)</f>
        <v>0</v>
      </c>
      <c r="AL143" s="2">
        <f>ROUND(SUMIF(AA135:AA141,"=0",Y135:Y141),2)</f>
        <v>0</v>
      </c>
      <c r="AM143" s="2">
        <v>0</v>
      </c>
    </row>
    <row r="145" spans="1:14" ht="12.75">
      <c r="A145" s="3">
        <v>50</v>
      </c>
      <c r="B145" s="3">
        <f>IF(Source!F145&lt;&gt;0,1,0)</f>
        <v>1</v>
      </c>
      <c r="C145" s="3">
        <v>0</v>
      </c>
      <c r="D145" s="3">
        <v>1</v>
      </c>
      <c r="E145" s="3">
        <v>201</v>
      </c>
      <c r="F145" s="3">
        <f>Source!O143</f>
        <v>15884.5</v>
      </c>
      <c r="G145" s="3" t="s">
        <v>148</v>
      </c>
      <c r="H145" s="3" t="s">
        <v>149</v>
      </c>
      <c r="I145" s="3"/>
      <c r="J145" s="3"/>
      <c r="K145" s="3">
        <v>201</v>
      </c>
      <c r="L145" s="3">
        <v>1</v>
      </c>
      <c r="M145" s="3">
        <v>1</v>
      </c>
      <c r="N145" s="3" t="s">
        <v>5</v>
      </c>
    </row>
    <row r="146" spans="1:14" ht="12.75">
      <c r="A146" s="3">
        <v>50</v>
      </c>
      <c r="B146" s="3">
        <f>IF(Source!F146&lt;&gt;0,1,0)</f>
        <v>1</v>
      </c>
      <c r="C146" s="3">
        <v>0</v>
      </c>
      <c r="D146" s="3">
        <v>1</v>
      </c>
      <c r="E146" s="3">
        <v>202</v>
      </c>
      <c r="F146" s="3">
        <f>Source!P143</f>
        <v>15884.5</v>
      </c>
      <c r="G146" s="3" t="s">
        <v>150</v>
      </c>
      <c r="H146" s="3" t="s">
        <v>151</v>
      </c>
      <c r="I146" s="3"/>
      <c r="J146" s="3"/>
      <c r="K146" s="3">
        <v>202</v>
      </c>
      <c r="L146" s="3">
        <v>2</v>
      </c>
      <c r="M146" s="3">
        <v>1</v>
      </c>
      <c r="N146" s="3" t="s">
        <v>5</v>
      </c>
    </row>
    <row r="147" spans="1:14" ht="12.75">
      <c r="A147" s="3">
        <v>50</v>
      </c>
      <c r="B147" s="3">
        <f>IF(Source!F147&lt;&gt;0,1,0)</f>
        <v>0</v>
      </c>
      <c r="C147" s="3">
        <v>0</v>
      </c>
      <c r="D147" s="3">
        <v>1</v>
      </c>
      <c r="E147" s="3">
        <v>203</v>
      </c>
      <c r="F147" s="3">
        <f>Source!Q143</f>
        <v>0</v>
      </c>
      <c r="G147" s="3" t="s">
        <v>152</v>
      </c>
      <c r="H147" s="3" t="s">
        <v>153</v>
      </c>
      <c r="I147" s="3"/>
      <c r="J147" s="3"/>
      <c r="K147" s="3">
        <v>203</v>
      </c>
      <c r="L147" s="3">
        <v>3</v>
      </c>
      <c r="M147" s="3">
        <v>1</v>
      </c>
      <c r="N147" s="3" t="s">
        <v>5</v>
      </c>
    </row>
    <row r="148" spans="1:14" ht="12.75">
      <c r="A148" s="3">
        <v>50</v>
      </c>
      <c r="B148" s="3">
        <f>IF(Source!F148&lt;&gt;0,1,0)</f>
        <v>0</v>
      </c>
      <c r="C148" s="3">
        <v>0</v>
      </c>
      <c r="D148" s="3">
        <v>1</v>
      </c>
      <c r="E148" s="3">
        <v>204</v>
      </c>
      <c r="F148" s="3">
        <f>Source!R143</f>
        <v>0</v>
      </c>
      <c r="G148" s="3" t="s">
        <v>154</v>
      </c>
      <c r="H148" s="3" t="s">
        <v>155</v>
      </c>
      <c r="I148" s="3"/>
      <c r="J148" s="3"/>
      <c r="K148" s="3">
        <v>204</v>
      </c>
      <c r="L148" s="3">
        <v>4</v>
      </c>
      <c r="M148" s="3">
        <v>1</v>
      </c>
      <c r="N148" s="3" t="s">
        <v>5</v>
      </c>
    </row>
    <row r="149" spans="1:14" ht="12.75">
      <c r="A149" s="3">
        <v>50</v>
      </c>
      <c r="B149" s="3">
        <f>IF(Source!F149&lt;&gt;0,1,0)</f>
        <v>0</v>
      </c>
      <c r="C149" s="3">
        <v>0</v>
      </c>
      <c r="D149" s="3">
        <v>1</v>
      </c>
      <c r="E149" s="3">
        <v>205</v>
      </c>
      <c r="F149" s="3">
        <f>Source!S143</f>
        <v>0</v>
      </c>
      <c r="G149" s="3" t="s">
        <v>156</v>
      </c>
      <c r="H149" s="3" t="s">
        <v>157</v>
      </c>
      <c r="I149" s="3"/>
      <c r="J149" s="3"/>
      <c r="K149" s="3">
        <v>205</v>
      </c>
      <c r="L149" s="3">
        <v>5</v>
      </c>
      <c r="M149" s="3">
        <v>1</v>
      </c>
      <c r="N149" s="3" t="s">
        <v>5</v>
      </c>
    </row>
    <row r="150" spans="1:14" ht="12.75">
      <c r="A150" s="3">
        <v>50</v>
      </c>
      <c r="B150" s="3">
        <f>IF(Source!F150&lt;&gt;0,1,0)</f>
        <v>0</v>
      </c>
      <c r="C150" s="3">
        <v>0</v>
      </c>
      <c r="D150" s="3">
        <v>1</v>
      </c>
      <c r="E150" s="3">
        <v>206</v>
      </c>
      <c r="F150" s="3">
        <f>Source!T143</f>
        <v>0</v>
      </c>
      <c r="G150" s="3" t="s">
        <v>158</v>
      </c>
      <c r="H150" s="3" t="s">
        <v>159</v>
      </c>
      <c r="I150" s="3"/>
      <c r="J150" s="3"/>
      <c r="K150" s="3">
        <v>206</v>
      </c>
      <c r="L150" s="3">
        <v>6</v>
      </c>
      <c r="M150" s="3">
        <v>1</v>
      </c>
      <c r="N150" s="3" t="s">
        <v>5</v>
      </c>
    </row>
    <row r="151" spans="1:14" ht="12.75">
      <c r="A151" s="3">
        <v>50</v>
      </c>
      <c r="B151" s="3">
        <f>IF(Source!F151&lt;&gt;0,1,0)</f>
        <v>0</v>
      </c>
      <c r="C151" s="3">
        <v>0</v>
      </c>
      <c r="D151" s="3">
        <v>1</v>
      </c>
      <c r="E151" s="3">
        <v>207</v>
      </c>
      <c r="F151" s="3">
        <f>Source!U143</f>
        <v>0</v>
      </c>
      <c r="G151" s="3" t="s">
        <v>160</v>
      </c>
      <c r="H151" s="3" t="s">
        <v>161</v>
      </c>
      <c r="I151" s="3"/>
      <c r="J151" s="3"/>
      <c r="K151" s="3">
        <v>207</v>
      </c>
      <c r="L151" s="3">
        <v>7</v>
      </c>
      <c r="M151" s="3">
        <v>1</v>
      </c>
      <c r="N151" s="3" t="s">
        <v>5</v>
      </c>
    </row>
    <row r="152" spans="1:14" ht="12.75">
      <c r="A152" s="3">
        <v>50</v>
      </c>
      <c r="B152" s="3">
        <f>IF(Source!F152&lt;&gt;0,1,0)</f>
        <v>0</v>
      </c>
      <c r="C152" s="3">
        <v>0</v>
      </c>
      <c r="D152" s="3">
        <v>1</v>
      </c>
      <c r="E152" s="3">
        <v>208</v>
      </c>
      <c r="F152" s="3">
        <f>Source!V143</f>
        <v>0</v>
      </c>
      <c r="G152" s="3" t="s">
        <v>162</v>
      </c>
      <c r="H152" s="3" t="s">
        <v>163</v>
      </c>
      <c r="I152" s="3"/>
      <c r="J152" s="3"/>
      <c r="K152" s="3">
        <v>208</v>
      </c>
      <c r="L152" s="3">
        <v>8</v>
      </c>
      <c r="M152" s="3">
        <v>1</v>
      </c>
      <c r="N152" s="3" t="s">
        <v>5</v>
      </c>
    </row>
    <row r="153" spans="1:14" ht="12.75">
      <c r="A153" s="3">
        <v>50</v>
      </c>
      <c r="B153" s="3">
        <f>IF(Source!F153&lt;&gt;0,1,0)</f>
        <v>0</v>
      </c>
      <c r="C153" s="3">
        <v>0</v>
      </c>
      <c r="D153" s="3">
        <v>1</v>
      </c>
      <c r="E153" s="3">
        <v>209</v>
      </c>
      <c r="F153" s="3">
        <f>Source!W143</f>
        <v>0</v>
      </c>
      <c r="G153" s="3" t="s">
        <v>164</v>
      </c>
      <c r="H153" s="3" t="s">
        <v>165</v>
      </c>
      <c r="I153" s="3"/>
      <c r="J153" s="3"/>
      <c r="K153" s="3">
        <v>209</v>
      </c>
      <c r="L153" s="3">
        <v>9</v>
      </c>
      <c r="M153" s="3">
        <v>1</v>
      </c>
      <c r="N153" s="3" t="s">
        <v>5</v>
      </c>
    </row>
    <row r="154" spans="1:14" ht="12.75">
      <c r="A154" s="3">
        <v>50</v>
      </c>
      <c r="B154" s="3">
        <f>IF(Source!F154&lt;&gt;0,1,0)</f>
        <v>0</v>
      </c>
      <c r="C154" s="3">
        <v>0</v>
      </c>
      <c r="D154" s="3">
        <v>1</v>
      </c>
      <c r="E154" s="3">
        <v>210</v>
      </c>
      <c r="F154" s="3">
        <f>Source!X143</f>
        <v>0</v>
      </c>
      <c r="G154" s="3" t="s">
        <v>166</v>
      </c>
      <c r="H154" s="3" t="s">
        <v>167</v>
      </c>
      <c r="I154" s="3"/>
      <c r="J154" s="3"/>
      <c r="K154" s="3">
        <v>210</v>
      </c>
      <c r="L154" s="3">
        <v>10</v>
      </c>
      <c r="M154" s="3">
        <v>1</v>
      </c>
      <c r="N154" s="3" t="s">
        <v>5</v>
      </c>
    </row>
    <row r="155" spans="1:14" ht="12.75">
      <c r="A155" s="3">
        <v>50</v>
      </c>
      <c r="B155" s="3">
        <v>1</v>
      </c>
      <c r="C155" s="3">
        <v>0</v>
      </c>
      <c r="D155" s="3">
        <v>1</v>
      </c>
      <c r="E155" s="3">
        <v>211</v>
      </c>
      <c r="F155" s="3">
        <f>Source!Y143</f>
        <v>0</v>
      </c>
      <c r="G155" s="3" t="s">
        <v>168</v>
      </c>
      <c r="H155" s="3" t="s">
        <v>169</v>
      </c>
      <c r="I155" s="3"/>
      <c r="J155" s="3"/>
      <c r="K155" s="3">
        <v>211</v>
      </c>
      <c r="L155" s="3">
        <v>11</v>
      </c>
      <c r="M155" s="3">
        <v>0</v>
      </c>
      <c r="N155" s="3" t="s">
        <v>5</v>
      </c>
    </row>
    <row r="157" spans="1:39" ht="12.75">
      <c r="A157" s="2">
        <v>51</v>
      </c>
      <c r="B157" s="2">
        <f>B20</f>
        <v>1</v>
      </c>
      <c r="C157" s="2">
        <f>A20</f>
        <v>3</v>
      </c>
      <c r="D157" s="2">
        <f>ROW(A20)</f>
        <v>20</v>
      </c>
      <c r="E157" s="2"/>
      <c r="F157" s="2" t="str">
        <f>IF(F20&lt;&gt;"",F20,"")</f>
        <v>Новая локальная смета</v>
      </c>
      <c r="G157" s="2" t="str">
        <f>IF(G20&lt;&gt;"",G20,"")</f>
        <v>на Автоматику</v>
      </c>
      <c r="H157" s="2"/>
      <c r="I157" s="2"/>
      <c r="J157" s="2"/>
      <c r="K157" s="2"/>
      <c r="L157" s="2"/>
      <c r="M157" s="2"/>
      <c r="N157" s="2"/>
      <c r="O157" s="2">
        <f aca="true" t="shared" si="97" ref="O157:Y157">ROUND(O60+O90+O117+O143+AB157,2)</f>
        <v>37041.93</v>
      </c>
      <c r="P157" s="2">
        <f t="shared" si="97"/>
        <v>34723.83</v>
      </c>
      <c r="Q157" s="2">
        <f t="shared" si="97"/>
        <v>548.85</v>
      </c>
      <c r="R157" s="2">
        <f t="shared" si="97"/>
        <v>73.04</v>
      </c>
      <c r="S157" s="2">
        <f t="shared" si="97"/>
        <v>1769.25</v>
      </c>
      <c r="T157" s="2">
        <f t="shared" si="97"/>
        <v>0</v>
      </c>
      <c r="U157" s="2">
        <f t="shared" si="97"/>
        <v>182.14</v>
      </c>
      <c r="V157" s="2">
        <f t="shared" si="97"/>
        <v>5.47</v>
      </c>
      <c r="W157" s="2">
        <f t="shared" si="97"/>
        <v>0</v>
      </c>
      <c r="X157" s="2">
        <f t="shared" si="97"/>
        <v>1596.49</v>
      </c>
      <c r="Y157" s="2">
        <f t="shared" si="97"/>
        <v>1146.26</v>
      </c>
      <c r="Z157" s="2"/>
      <c r="AA157" s="2"/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2">
        <v>0</v>
      </c>
      <c r="AM157" s="2">
        <v>0</v>
      </c>
    </row>
    <row r="159" spans="1:14" ht="12.75">
      <c r="A159" s="3">
        <v>50</v>
      </c>
      <c r="B159" s="3">
        <f>IF(Source!F159&lt;&gt;0,1,0)</f>
        <v>1</v>
      </c>
      <c r="C159" s="3">
        <v>0</v>
      </c>
      <c r="D159" s="3">
        <v>1</v>
      </c>
      <c r="E159" s="3">
        <v>201</v>
      </c>
      <c r="F159" s="3">
        <f>Source!O157</f>
        <v>37041.93</v>
      </c>
      <c r="G159" s="3" t="s">
        <v>148</v>
      </c>
      <c r="H159" s="3" t="s">
        <v>149</v>
      </c>
      <c r="I159" s="3"/>
      <c r="J159" s="3"/>
      <c r="K159" s="3">
        <v>201</v>
      </c>
      <c r="L159" s="3">
        <v>1</v>
      </c>
      <c r="M159" s="3">
        <v>1</v>
      </c>
      <c r="N159" s="3" t="s">
        <v>5</v>
      </c>
    </row>
    <row r="160" spans="1:14" ht="12.75">
      <c r="A160" s="3">
        <v>50</v>
      </c>
      <c r="B160" s="3">
        <f>IF(Source!F160&lt;&gt;0,1,0)</f>
        <v>1</v>
      </c>
      <c r="C160" s="3">
        <v>0</v>
      </c>
      <c r="D160" s="3">
        <v>1</v>
      </c>
      <c r="E160" s="3">
        <v>202</v>
      </c>
      <c r="F160" s="3">
        <f>Source!P157</f>
        <v>34723.83</v>
      </c>
      <c r="G160" s="3" t="s">
        <v>150</v>
      </c>
      <c r="H160" s="3" t="s">
        <v>151</v>
      </c>
      <c r="I160" s="3"/>
      <c r="J160" s="3"/>
      <c r="K160" s="3">
        <v>202</v>
      </c>
      <c r="L160" s="3">
        <v>2</v>
      </c>
      <c r="M160" s="3">
        <v>1</v>
      </c>
      <c r="N160" s="3" t="s">
        <v>5</v>
      </c>
    </row>
    <row r="161" spans="1:14" ht="12.75">
      <c r="A161" s="3">
        <v>50</v>
      </c>
      <c r="B161" s="3">
        <f>IF(Source!F161&lt;&gt;0,1,0)</f>
        <v>1</v>
      </c>
      <c r="C161" s="3">
        <v>0</v>
      </c>
      <c r="D161" s="3">
        <v>1</v>
      </c>
      <c r="E161" s="3">
        <v>203</v>
      </c>
      <c r="F161" s="3">
        <f>Source!Q157</f>
        <v>548.85</v>
      </c>
      <c r="G161" s="3" t="s">
        <v>152</v>
      </c>
      <c r="H161" s="3" t="s">
        <v>153</v>
      </c>
      <c r="I161" s="3"/>
      <c r="J161" s="3"/>
      <c r="K161" s="3">
        <v>203</v>
      </c>
      <c r="L161" s="3">
        <v>3</v>
      </c>
      <c r="M161" s="3">
        <v>1</v>
      </c>
      <c r="N161" s="3" t="s">
        <v>5</v>
      </c>
    </row>
    <row r="162" spans="1:14" ht="12.75">
      <c r="A162" s="3">
        <v>50</v>
      </c>
      <c r="B162" s="3">
        <f>IF(Source!F162&lt;&gt;0,1,0)</f>
        <v>1</v>
      </c>
      <c r="C162" s="3">
        <v>0</v>
      </c>
      <c r="D162" s="3">
        <v>1</v>
      </c>
      <c r="E162" s="3">
        <v>204</v>
      </c>
      <c r="F162" s="3">
        <f>Source!R157</f>
        <v>73.04</v>
      </c>
      <c r="G162" s="3" t="s">
        <v>154</v>
      </c>
      <c r="H162" s="3" t="s">
        <v>155</v>
      </c>
      <c r="I162" s="3"/>
      <c r="J162" s="3"/>
      <c r="K162" s="3">
        <v>204</v>
      </c>
      <c r="L162" s="3">
        <v>4</v>
      </c>
      <c r="M162" s="3">
        <v>1</v>
      </c>
      <c r="N162" s="3" t="s">
        <v>5</v>
      </c>
    </row>
    <row r="163" spans="1:14" ht="12.75">
      <c r="A163" s="3">
        <v>50</v>
      </c>
      <c r="B163" s="3">
        <f>IF(Source!F163&lt;&gt;0,1,0)</f>
        <v>1</v>
      </c>
      <c r="C163" s="3">
        <v>0</v>
      </c>
      <c r="D163" s="3">
        <v>1</v>
      </c>
      <c r="E163" s="3">
        <v>205</v>
      </c>
      <c r="F163" s="3">
        <f>Source!S157</f>
        <v>1769.25</v>
      </c>
      <c r="G163" s="3" t="s">
        <v>156</v>
      </c>
      <c r="H163" s="3" t="s">
        <v>157</v>
      </c>
      <c r="I163" s="3"/>
      <c r="J163" s="3"/>
      <c r="K163" s="3">
        <v>205</v>
      </c>
      <c r="L163" s="3">
        <v>5</v>
      </c>
      <c r="M163" s="3">
        <v>1</v>
      </c>
      <c r="N163" s="3" t="s">
        <v>5</v>
      </c>
    </row>
    <row r="164" spans="1:14" ht="12.75">
      <c r="A164" s="3">
        <v>50</v>
      </c>
      <c r="B164" s="3">
        <f>IF(Source!F164&lt;&gt;0,1,0)</f>
        <v>0</v>
      </c>
      <c r="C164" s="3">
        <v>0</v>
      </c>
      <c r="D164" s="3">
        <v>1</v>
      </c>
      <c r="E164" s="3">
        <v>206</v>
      </c>
      <c r="F164" s="3">
        <f>Source!T157</f>
        <v>0</v>
      </c>
      <c r="G164" s="3" t="s">
        <v>158</v>
      </c>
      <c r="H164" s="3" t="s">
        <v>159</v>
      </c>
      <c r="I164" s="3"/>
      <c r="J164" s="3"/>
      <c r="K164" s="3">
        <v>206</v>
      </c>
      <c r="L164" s="3">
        <v>6</v>
      </c>
      <c r="M164" s="3">
        <v>1</v>
      </c>
      <c r="N164" s="3" t="s">
        <v>5</v>
      </c>
    </row>
    <row r="165" spans="1:14" ht="12.75">
      <c r="A165" s="3">
        <v>50</v>
      </c>
      <c r="B165" s="3">
        <f>IF(Source!F165&lt;&gt;0,1,0)</f>
        <v>1</v>
      </c>
      <c r="C165" s="3">
        <v>0</v>
      </c>
      <c r="D165" s="3">
        <v>1</v>
      </c>
      <c r="E165" s="3">
        <v>207</v>
      </c>
      <c r="F165" s="3">
        <f>Source!U157</f>
        <v>182.14</v>
      </c>
      <c r="G165" s="3" t="s">
        <v>160</v>
      </c>
      <c r="H165" s="3" t="s">
        <v>161</v>
      </c>
      <c r="I165" s="3"/>
      <c r="J165" s="3"/>
      <c r="K165" s="3">
        <v>207</v>
      </c>
      <c r="L165" s="3">
        <v>7</v>
      </c>
      <c r="M165" s="3">
        <v>1</v>
      </c>
      <c r="N165" s="3" t="s">
        <v>5</v>
      </c>
    </row>
    <row r="166" spans="1:14" ht="12.75">
      <c r="A166" s="3">
        <v>50</v>
      </c>
      <c r="B166" s="3">
        <f>IF(Source!F166&lt;&gt;0,1,0)</f>
        <v>1</v>
      </c>
      <c r="C166" s="3">
        <v>0</v>
      </c>
      <c r="D166" s="3">
        <v>1</v>
      </c>
      <c r="E166" s="3">
        <v>208</v>
      </c>
      <c r="F166" s="3">
        <f>Source!V157</f>
        <v>5.47</v>
      </c>
      <c r="G166" s="3" t="s">
        <v>162</v>
      </c>
      <c r="H166" s="3" t="s">
        <v>163</v>
      </c>
      <c r="I166" s="3"/>
      <c r="J166" s="3"/>
      <c r="K166" s="3">
        <v>208</v>
      </c>
      <c r="L166" s="3">
        <v>8</v>
      </c>
      <c r="M166" s="3">
        <v>1</v>
      </c>
      <c r="N166" s="3" t="s">
        <v>5</v>
      </c>
    </row>
    <row r="167" spans="1:14" ht="12.75">
      <c r="A167" s="3">
        <v>50</v>
      </c>
      <c r="B167" s="3">
        <f>IF(Source!F167&lt;&gt;0,1,0)</f>
        <v>0</v>
      </c>
      <c r="C167" s="3">
        <v>0</v>
      </c>
      <c r="D167" s="3">
        <v>1</v>
      </c>
      <c r="E167" s="3">
        <v>209</v>
      </c>
      <c r="F167" s="3">
        <f>Source!W157</f>
        <v>0</v>
      </c>
      <c r="G167" s="3" t="s">
        <v>164</v>
      </c>
      <c r="H167" s="3" t="s">
        <v>165</v>
      </c>
      <c r="I167" s="3"/>
      <c r="J167" s="3"/>
      <c r="K167" s="3">
        <v>209</v>
      </c>
      <c r="L167" s="3">
        <v>9</v>
      </c>
      <c r="M167" s="3">
        <v>1</v>
      </c>
      <c r="N167" s="3" t="s">
        <v>5</v>
      </c>
    </row>
    <row r="168" spans="1:14" ht="12.75">
      <c r="A168" s="3">
        <v>50</v>
      </c>
      <c r="B168" s="3">
        <f>IF(Source!F168&lt;&gt;0,1,0)</f>
        <v>1</v>
      </c>
      <c r="C168" s="3">
        <v>0</v>
      </c>
      <c r="D168" s="3">
        <v>1</v>
      </c>
      <c r="E168" s="3">
        <v>210</v>
      </c>
      <c r="F168" s="3">
        <f>Source!X157</f>
        <v>1596.49</v>
      </c>
      <c r="G168" s="3" t="s">
        <v>166</v>
      </c>
      <c r="H168" s="3" t="s">
        <v>167</v>
      </c>
      <c r="I168" s="3"/>
      <c r="J168" s="3"/>
      <c r="K168" s="3">
        <v>210</v>
      </c>
      <c r="L168" s="3">
        <v>10</v>
      </c>
      <c r="M168" s="3">
        <v>1</v>
      </c>
      <c r="N168" s="3" t="s">
        <v>5</v>
      </c>
    </row>
    <row r="169" spans="1:14" ht="12.75">
      <c r="A169" s="3">
        <v>50</v>
      </c>
      <c r="B169" s="3">
        <v>1</v>
      </c>
      <c r="C169" s="3">
        <v>0</v>
      </c>
      <c r="D169" s="3">
        <v>1</v>
      </c>
      <c r="E169" s="3">
        <v>211</v>
      </c>
      <c r="F169" s="3">
        <f>Source!Y157</f>
        <v>1146.26</v>
      </c>
      <c r="G169" s="3" t="s">
        <v>168</v>
      </c>
      <c r="H169" s="3" t="s">
        <v>169</v>
      </c>
      <c r="I169" s="3"/>
      <c r="J169" s="3"/>
      <c r="K169" s="3">
        <v>211</v>
      </c>
      <c r="L169" s="3">
        <v>11</v>
      </c>
      <c r="M169" s="3">
        <v>0</v>
      </c>
      <c r="N169" s="3" t="s">
        <v>5</v>
      </c>
    </row>
    <row r="171" spans="1:39" ht="12.75">
      <c r="A171" s="2">
        <v>51</v>
      </c>
      <c r="B171" s="2">
        <f>B12</f>
        <v>1</v>
      </c>
      <c r="C171" s="2">
        <f>A12</f>
        <v>1</v>
      </c>
      <c r="D171" s="2">
        <f>ROW(A12)</f>
        <v>12</v>
      </c>
      <c r="E171" s="2"/>
      <c r="F171" s="2" t="str">
        <f>IF(F12&lt;&gt;"",F12,"")</f>
        <v>Газооборудование</v>
      </c>
      <c r="G171" s="2" t="str">
        <f>IF(G12&lt;&gt;"",G12,"")</f>
        <v>Котельная в с. Филипповка Мелекесского района</v>
      </c>
      <c r="H171" s="2"/>
      <c r="I171" s="2"/>
      <c r="J171" s="2"/>
      <c r="K171" s="2"/>
      <c r="L171" s="2"/>
      <c r="M171" s="2"/>
      <c r="N171" s="2"/>
      <c r="O171" s="2">
        <f aca="true" t="shared" si="98" ref="O171:Y171">ROUND(O157,2)</f>
        <v>37041.93</v>
      </c>
      <c r="P171" s="2">
        <f t="shared" si="98"/>
        <v>34723.83</v>
      </c>
      <c r="Q171" s="2">
        <f t="shared" si="98"/>
        <v>548.85</v>
      </c>
      <c r="R171" s="2">
        <f t="shared" si="98"/>
        <v>73.04</v>
      </c>
      <c r="S171" s="2">
        <f t="shared" si="98"/>
        <v>1769.25</v>
      </c>
      <c r="T171" s="2">
        <f t="shared" si="98"/>
        <v>0</v>
      </c>
      <c r="U171" s="2">
        <f t="shared" si="98"/>
        <v>182.14</v>
      </c>
      <c r="V171" s="2">
        <f t="shared" si="98"/>
        <v>5.47</v>
      </c>
      <c r="W171" s="2">
        <f t="shared" si="98"/>
        <v>0</v>
      </c>
      <c r="X171" s="2">
        <f t="shared" si="98"/>
        <v>1596.49</v>
      </c>
      <c r="Y171" s="2">
        <f t="shared" si="98"/>
        <v>1146.26</v>
      </c>
      <c r="Z171" s="2"/>
      <c r="AA171" s="2"/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2">
        <v>0</v>
      </c>
      <c r="AM171" s="2">
        <v>0</v>
      </c>
    </row>
    <row r="173" spans="1:14" ht="12.75">
      <c r="A173" s="3">
        <v>50</v>
      </c>
      <c r="B173" s="3">
        <f>IF(Source!F173&lt;&gt;0,1,0)</f>
        <v>1</v>
      </c>
      <c r="C173" s="3">
        <v>0</v>
      </c>
      <c r="D173" s="3">
        <v>1</v>
      </c>
      <c r="E173" s="3">
        <v>201</v>
      </c>
      <c r="F173" s="3">
        <f>Source!O171</f>
        <v>37041.93</v>
      </c>
      <c r="G173" s="3" t="s">
        <v>148</v>
      </c>
      <c r="H173" s="3" t="s">
        <v>149</v>
      </c>
      <c r="I173" s="3"/>
      <c r="J173" s="3"/>
      <c r="K173" s="3">
        <v>201</v>
      </c>
      <c r="L173" s="3">
        <v>1</v>
      </c>
      <c r="M173" s="3">
        <v>1</v>
      </c>
      <c r="N173" s="3" t="s">
        <v>5</v>
      </c>
    </row>
    <row r="174" spans="1:14" ht="12.75">
      <c r="A174" s="3">
        <v>50</v>
      </c>
      <c r="B174" s="3">
        <f>IF(Source!F174&lt;&gt;0,1,0)</f>
        <v>1</v>
      </c>
      <c r="C174" s="3">
        <v>0</v>
      </c>
      <c r="D174" s="3">
        <v>1</v>
      </c>
      <c r="E174" s="3">
        <v>202</v>
      </c>
      <c r="F174" s="3">
        <f>Source!P171</f>
        <v>34723.83</v>
      </c>
      <c r="G174" s="3" t="s">
        <v>150</v>
      </c>
      <c r="H174" s="3" t="s">
        <v>151</v>
      </c>
      <c r="I174" s="3"/>
      <c r="J174" s="3"/>
      <c r="K174" s="3">
        <v>202</v>
      </c>
      <c r="L174" s="3">
        <v>2</v>
      </c>
      <c r="M174" s="3">
        <v>1</v>
      </c>
      <c r="N174" s="3" t="s">
        <v>5</v>
      </c>
    </row>
    <row r="175" spans="1:14" ht="12.75">
      <c r="A175" s="3">
        <v>50</v>
      </c>
      <c r="B175" s="3">
        <f>IF(Source!F175&lt;&gt;0,1,0)</f>
        <v>1</v>
      </c>
      <c r="C175" s="3">
        <v>0</v>
      </c>
      <c r="D175" s="3">
        <v>1</v>
      </c>
      <c r="E175" s="3">
        <v>203</v>
      </c>
      <c r="F175" s="3">
        <f>Source!Q171</f>
        <v>548.85</v>
      </c>
      <c r="G175" s="3" t="s">
        <v>152</v>
      </c>
      <c r="H175" s="3" t="s">
        <v>153</v>
      </c>
      <c r="I175" s="3"/>
      <c r="J175" s="3"/>
      <c r="K175" s="3">
        <v>203</v>
      </c>
      <c r="L175" s="3">
        <v>3</v>
      </c>
      <c r="M175" s="3">
        <v>1</v>
      </c>
      <c r="N175" s="3" t="s">
        <v>5</v>
      </c>
    </row>
    <row r="176" spans="1:14" ht="12.75">
      <c r="A176" s="3">
        <v>50</v>
      </c>
      <c r="B176" s="3">
        <f>IF(Source!F176&lt;&gt;0,1,0)</f>
        <v>1</v>
      </c>
      <c r="C176" s="3">
        <v>0</v>
      </c>
      <c r="D176" s="3">
        <v>1</v>
      </c>
      <c r="E176" s="3">
        <v>204</v>
      </c>
      <c r="F176" s="3">
        <f>Source!R171</f>
        <v>73.04</v>
      </c>
      <c r="G176" s="3" t="s">
        <v>154</v>
      </c>
      <c r="H176" s="3" t="s">
        <v>155</v>
      </c>
      <c r="I176" s="3"/>
      <c r="J176" s="3"/>
      <c r="K176" s="3">
        <v>204</v>
      </c>
      <c r="L176" s="3">
        <v>4</v>
      </c>
      <c r="M176" s="3">
        <v>1</v>
      </c>
      <c r="N176" s="3" t="s">
        <v>5</v>
      </c>
    </row>
    <row r="177" spans="1:14" ht="12.75">
      <c r="A177" s="3">
        <v>50</v>
      </c>
      <c r="B177" s="3">
        <f>IF(Source!F177&lt;&gt;0,1,0)</f>
        <v>1</v>
      </c>
      <c r="C177" s="3">
        <v>0</v>
      </c>
      <c r="D177" s="3">
        <v>1</v>
      </c>
      <c r="E177" s="3">
        <v>0</v>
      </c>
      <c r="F177" s="3">
        <f>Source!S171</f>
        <v>1769.25</v>
      </c>
      <c r="G177" s="3" t="s">
        <v>156</v>
      </c>
      <c r="H177" s="3" t="s">
        <v>157</v>
      </c>
      <c r="I177" s="3"/>
      <c r="J177" s="3"/>
      <c r="K177" s="3">
        <v>205</v>
      </c>
      <c r="L177" s="3">
        <v>5</v>
      </c>
      <c r="M177" s="3">
        <v>1</v>
      </c>
      <c r="N177" s="3" t="s">
        <v>5</v>
      </c>
    </row>
    <row r="178" spans="1:14" ht="12.75">
      <c r="A178" s="3">
        <v>50</v>
      </c>
      <c r="B178" s="3">
        <f>IF(Source!F178&lt;&gt;0,1,0)</f>
        <v>0</v>
      </c>
      <c r="C178" s="3">
        <v>0</v>
      </c>
      <c r="D178" s="3">
        <v>1</v>
      </c>
      <c r="E178" s="3">
        <v>206</v>
      </c>
      <c r="F178" s="3">
        <f>Source!T171</f>
        <v>0</v>
      </c>
      <c r="G178" s="3" t="s">
        <v>158</v>
      </c>
      <c r="H178" s="3" t="s">
        <v>159</v>
      </c>
      <c r="I178" s="3"/>
      <c r="J178" s="3"/>
      <c r="K178" s="3">
        <v>206</v>
      </c>
      <c r="L178" s="3">
        <v>6</v>
      </c>
      <c r="M178" s="3">
        <v>1</v>
      </c>
      <c r="N178" s="3" t="s">
        <v>5</v>
      </c>
    </row>
    <row r="179" spans="1:14" ht="12.75">
      <c r="A179" s="3">
        <v>50</v>
      </c>
      <c r="B179" s="3">
        <f>IF(Source!F179&lt;&gt;0,1,0)</f>
        <v>1</v>
      </c>
      <c r="C179" s="3">
        <v>0</v>
      </c>
      <c r="D179" s="3">
        <v>1</v>
      </c>
      <c r="E179" s="3">
        <v>207</v>
      </c>
      <c r="F179" s="3">
        <f>Source!U171</f>
        <v>182.14</v>
      </c>
      <c r="G179" s="3" t="s">
        <v>160</v>
      </c>
      <c r="H179" s="3" t="s">
        <v>161</v>
      </c>
      <c r="I179" s="3"/>
      <c r="J179" s="3"/>
      <c r="K179" s="3">
        <v>207</v>
      </c>
      <c r="L179" s="3">
        <v>7</v>
      </c>
      <c r="M179" s="3">
        <v>1</v>
      </c>
      <c r="N179" s="3" t="s">
        <v>5</v>
      </c>
    </row>
    <row r="180" spans="1:14" ht="12.75">
      <c r="A180" s="3">
        <v>50</v>
      </c>
      <c r="B180" s="3">
        <f>IF(Source!F180&lt;&gt;0,1,0)</f>
        <v>1</v>
      </c>
      <c r="C180" s="3">
        <v>0</v>
      </c>
      <c r="D180" s="3">
        <v>1</v>
      </c>
      <c r="E180" s="3">
        <v>208</v>
      </c>
      <c r="F180" s="3">
        <f>Source!V171</f>
        <v>5.47</v>
      </c>
      <c r="G180" s="3" t="s">
        <v>162</v>
      </c>
      <c r="H180" s="3" t="s">
        <v>163</v>
      </c>
      <c r="I180" s="3"/>
      <c r="J180" s="3"/>
      <c r="K180" s="3">
        <v>208</v>
      </c>
      <c r="L180" s="3">
        <v>8</v>
      </c>
      <c r="M180" s="3">
        <v>1</v>
      </c>
      <c r="N180" s="3" t="s">
        <v>5</v>
      </c>
    </row>
    <row r="181" spans="1:14" ht="12.75">
      <c r="A181" s="3">
        <v>50</v>
      </c>
      <c r="B181" s="3">
        <f>IF(Source!F181&lt;&gt;0,1,0)</f>
        <v>0</v>
      </c>
      <c r="C181" s="3">
        <v>0</v>
      </c>
      <c r="D181" s="3">
        <v>1</v>
      </c>
      <c r="E181" s="3">
        <v>209</v>
      </c>
      <c r="F181" s="3">
        <f>Source!W171</f>
        <v>0</v>
      </c>
      <c r="G181" s="3" t="s">
        <v>164</v>
      </c>
      <c r="H181" s="3" t="s">
        <v>165</v>
      </c>
      <c r="I181" s="3"/>
      <c r="J181" s="3"/>
      <c r="K181" s="3">
        <v>209</v>
      </c>
      <c r="L181" s="3">
        <v>9</v>
      </c>
      <c r="M181" s="3">
        <v>1</v>
      </c>
      <c r="N181" s="3" t="s">
        <v>5</v>
      </c>
    </row>
    <row r="182" spans="1:14" ht="12.75">
      <c r="A182" s="3">
        <v>50</v>
      </c>
      <c r="B182" s="3">
        <f>IF(Source!F182&lt;&gt;0,1,0)</f>
        <v>1</v>
      </c>
      <c r="C182" s="3">
        <v>0</v>
      </c>
      <c r="D182" s="3">
        <v>1</v>
      </c>
      <c r="E182" s="3">
        <v>210</v>
      </c>
      <c r="F182" s="3">
        <f>Source!X171</f>
        <v>1596.49</v>
      </c>
      <c r="G182" s="3" t="s">
        <v>166</v>
      </c>
      <c r="H182" s="3" t="s">
        <v>167</v>
      </c>
      <c r="I182" s="3"/>
      <c r="J182" s="3"/>
      <c r="K182" s="3">
        <v>210</v>
      </c>
      <c r="L182" s="3">
        <v>10</v>
      </c>
      <c r="M182" s="3">
        <v>1</v>
      </c>
      <c r="N182" s="3" t="s">
        <v>5</v>
      </c>
    </row>
    <row r="183" spans="1:14" ht="12.75">
      <c r="A183" s="3">
        <v>50</v>
      </c>
      <c r="B183" s="3">
        <v>1</v>
      </c>
      <c r="C183" s="3">
        <v>0</v>
      </c>
      <c r="D183" s="3">
        <v>1</v>
      </c>
      <c r="E183" s="3">
        <v>211</v>
      </c>
      <c r="F183" s="3">
        <f>Source!Y171</f>
        <v>1146.26</v>
      </c>
      <c r="G183" s="3" t="s">
        <v>168</v>
      </c>
      <c r="H183" s="3" t="s">
        <v>169</v>
      </c>
      <c r="I183" s="3"/>
      <c r="J183" s="3"/>
      <c r="K183" s="3">
        <v>211</v>
      </c>
      <c r="L183" s="3">
        <v>11</v>
      </c>
      <c r="M183" s="3">
        <v>0</v>
      </c>
      <c r="N183" s="3" t="s">
        <v>5</v>
      </c>
    </row>
    <row r="184" spans="1:14" ht="12.75">
      <c r="A184" s="3">
        <v>50</v>
      </c>
      <c r="B184" s="3">
        <f>IF(Source!F184&lt;&gt;0,1,0)</f>
        <v>1</v>
      </c>
      <c r="C184" s="3">
        <v>0</v>
      </c>
      <c r="D184" s="3">
        <v>2</v>
      </c>
      <c r="E184" s="3">
        <v>0</v>
      </c>
      <c r="F184" s="3">
        <f>ROUND(3.04,2)</f>
        <v>3.04</v>
      </c>
      <c r="G184" s="3" t="s">
        <v>224</v>
      </c>
      <c r="H184" s="3" t="s">
        <v>225</v>
      </c>
      <c r="I184" s="3"/>
      <c r="J184" s="3"/>
      <c r="K184" s="3">
        <v>212</v>
      </c>
      <c r="L184" s="3">
        <v>12</v>
      </c>
      <c r="M184" s="3">
        <v>1</v>
      </c>
      <c r="N184" s="3" t="s">
        <v>5</v>
      </c>
    </row>
    <row r="185" spans="1:14" ht="12.75">
      <c r="A185" s="3">
        <v>50</v>
      </c>
      <c r="B185" s="3">
        <f>IF(Source!F185&lt;&gt;0,1,0)</f>
        <v>1</v>
      </c>
      <c r="C185" s="3">
        <v>0</v>
      </c>
      <c r="D185" s="3">
        <v>2</v>
      </c>
      <c r="E185" s="3">
        <v>0</v>
      </c>
      <c r="F185" s="3">
        <f>ROUND(2.6,2)</f>
        <v>2.6</v>
      </c>
      <c r="G185" s="3" t="s">
        <v>226</v>
      </c>
      <c r="H185" s="3" t="s">
        <v>227</v>
      </c>
      <c r="I185" s="3"/>
      <c r="J185" s="3"/>
      <c r="K185" s="3">
        <v>212</v>
      </c>
      <c r="L185" s="3">
        <v>13</v>
      </c>
      <c r="M185" s="3">
        <v>1</v>
      </c>
      <c r="N185" s="3" t="s">
        <v>5</v>
      </c>
    </row>
    <row r="186" spans="1:14" ht="12.75">
      <c r="A186" s="3">
        <v>50</v>
      </c>
      <c r="B186" s="3">
        <f>IF(Source!F186&lt;&gt;0,1,0)</f>
        <v>1</v>
      </c>
      <c r="C186" s="3">
        <v>0</v>
      </c>
      <c r="D186" s="3">
        <v>2</v>
      </c>
      <c r="E186" s="3">
        <v>0</v>
      </c>
      <c r="F186" s="3">
        <f>ROUND(4.36,2)</f>
        <v>4.36</v>
      </c>
      <c r="G186" s="3" t="s">
        <v>228</v>
      </c>
      <c r="H186" s="3" t="s">
        <v>229</v>
      </c>
      <c r="I186" s="3"/>
      <c r="J186" s="3"/>
      <c r="K186" s="3">
        <v>212</v>
      </c>
      <c r="L186" s="3">
        <v>14</v>
      </c>
      <c r="M186" s="3">
        <v>1</v>
      </c>
      <c r="N186" s="3" t="s">
        <v>5</v>
      </c>
    </row>
    <row r="187" spans="1:14" ht="12.75">
      <c r="A187" s="3">
        <v>50</v>
      </c>
      <c r="B187" s="3">
        <f>IF(Source!F187&lt;&gt;0,1,0)</f>
        <v>0</v>
      </c>
      <c r="C187" s="3">
        <v>0</v>
      </c>
      <c r="D187" s="3">
        <v>2</v>
      </c>
      <c r="E187" s="3">
        <v>0</v>
      </c>
      <c r="F187" s="3">
        <v>0</v>
      </c>
      <c r="G187" s="3" t="s">
        <v>230</v>
      </c>
      <c r="H187" s="3" t="s">
        <v>231</v>
      </c>
      <c r="I187" s="3"/>
      <c r="J187" s="3"/>
      <c r="K187" s="3">
        <v>212</v>
      </c>
      <c r="L187" s="3">
        <v>15</v>
      </c>
      <c r="M187" s="3">
        <v>1</v>
      </c>
      <c r="N187" s="3" t="s">
        <v>5</v>
      </c>
    </row>
    <row r="188" spans="1:14" ht="12.75">
      <c r="A188" s="3">
        <v>50</v>
      </c>
      <c r="B188" s="3">
        <f>IF(Source!F188&lt;&gt;0,1,0)</f>
        <v>1</v>
      </c>
      <c r="C188" s="3">
        <v>0</v>
      </c>
      <c r="D188" s="3">
        <v>2</v>
      </c>
      <c r="E188" s="3">
        <v>0</v>
      </c>
      <c r="F188" s="3">
        <f>ROUND(IF(Source!F190=0,Source!F189+Source!F192+Source!F194,Source!F191+Source!F192+Source!F194),2)</f>
        <v>130957.69</v>
      </c>
      <c r="G188" s="3" t="s">
        <v>232</v>
      </c>
      <c r="H188" s="3" t="s">
        <v>233</v>
      </c>
      <c r="I188" s="3"/>
      <c r="J188" s="3"/>
      <c r="K188" s="3">
        <v>212</v>
      </c>
      <c r="L188" s="3">
        <v>16</v>
      </c>
      <c r="M188" s="3">
        <v>1</v>
      </c>
      <c r="N188" s="3" t="s">
        <v>5</v>
      </c>
    </row>
    <row r="189" spans="1:14" ht="12.75">
      <c r="A189" s="3">
        <v>50</v>
      </c>
      <c r="B189" s="3">
        <f>IF(Source!F189&lt;&gt;0,1,0)</f>
        <v>1</v>
      </c>
      <c r="C189" s="3">
        <v>0</v>
      </c>
      <c r="D189" s="3">
        <v>2</v>
      </c>
      <c r="E189" s="3">
        <v>0</v>
      </c>
      <c r="F189" s="3">
        <f>ROUND(Source!F184*Source!F174,2)</f>
        <v>105560.44</v>
      </c>
      <c r="G189" s="3" t="s">
        <v>234</v>
      </c>
      <c r="H189" s="3" t="s">
        <v>235</v>
      </c>
      <c r="I189" s="3"/>
      <c r="J189" s="3"/>
      <c r="K189" s="3">
        <v>212</v>
      </c>
      <c r="L189" s="3">
        <v>17</v>
      </c>
      <c r="M189" s="3">
        <v>1</v>
      </c>
      <c r="N189" s="3" t="s">
        <v>5</v>
      </c>
    </row>
    <row r="190" spans="1:14" ht="12.75">
      <c r="A190" s="3">
        <v>50</v>
      </c>
      <c r="B190" s="3">
        <f>IF(Source!F190&lt;&gt;0,1,0)</f>
        <v>1</v>
      </c>
      <c r="C190" s="3">
        <v>0</v>
      </c>
      <c r="D190" s="3">
        <v>2</v>
      </c>
      <c r="E190" s="3">
        <v>0</v>
      </c>
      <c r="F190" s="3">
        <f>ROUND(14.2+1.2,2)</f>
        <v>15.4</v>
      </c>
      <c r="G190" s="3" t="s">
        <v>236</v>
      </c>
      <c r="H190" s="3" t="s">
        <v>237</v>
      </c>
      <c r="I190" s="3"/>
      <c r="J190" s="3"/>
      <c r="K190" s="3">
        <v>212</v>
      </c>
      <c r="L190" s="3">
        <v>18</v>
      </c>
      <c r="M190" s="3">
        <v>1</v>
      </c>
      <c r="N190" s="3" t="s">
        <v>5</v>
      </c>
    </row>
    <row r="191" spans="1:14" ht="12.75">
      <c r="A191" s="3">
        <v>50</v>
      </c>
      <c r="B191" s="3">
        <f>IF(Source!F191&lt;&gt;0,1,0)</f>
        <v>1</v>
      </c>
      <c r="C191" s="3">
        <v>0</v>
      </c>
      <c r="D191" s="3">
        <v>2</v>
      </c>
      <c r="E191" s="3">
        <v>0</v>
      </c>
      <c r="F191" s="3">
        <f>ROUND(IF(Source!F190=0,0,Source!F189*(100+Source!F190)/100),2)</f>
        <v>121816.75</v>
      </c>
      <c r="G191" s="3" t="s">
        <v>238</v>
      </c>
      <c r="H191" s="3" t="s">
        <v>239</v>
      </c>
      <c r="I191" s="3"/>
      <c r="J191" s="3"/>
      <c r="K191" s="3">
        <v>212</v>
      </c>
      <c r="L191" s="3">
        <v>19</v>
      </c>
      <c r="M191" s="3">
        <v>1</v>
      </c>
      <c r="N191" s="3" t="s">
        <v>5</v>
      </c>
    </row>
    <row r="192" spans="1:14" ht="12.75">
      <c r="A192" s="3">
        <v>50</v>
      </c>
      <c r="B192" s="3">
        <f>IF(Source!F192&lt;&gt;0,1,0)</f>
        <v>1</v>
      </c>
      <c r="C192" s="3">
        <v>0</v>
      </c>
      <c r="D192" s="3">
        <v>2</v>
      </c>
      <c r="E192" s="3">
        <v>0</v>
      </c>
      <c r="F192" s="3">
        <f>ROUND(Source!F185*Source!F175,2)</f>
        <v>1427.01</v>
      </c>
      <c r="G192" s="3" t="s">
        <v>240</v>
      </c>
      <c r="H192" s="3" t="s">
        <v>241</v>
      </c>
      <c r="I192" s="3"/>
      <c r="J192" s="3"/>
      <c r="K192" s="3">
        <v>212</v>
      </c>
      <c r="L192" s="3">
        <v>20</v>
      </c>
      <c r="M192" s="3">
        <v>1</v>
      </c>
      <c r="N192" s="3" t="s">
        <v>5</v>
      </c>
    </row>
    <row r="193" spans="1:14" ht="12.75">
      <c r="A193" s="3">
        <v>50</v>
      </c>
      <c r="B193" s="3">
        <f>IF(Source!F193&lt;&gt;0,1,0)</f>
        <v>1</v>
      </c>
      <c r="C193" s="3">
        <v>0</v>
      </c>
      <c r="D193" s="3">
        <v>2</v>
      </c>
      <c r="E193" s="3">
        <v>0</v>
      </c>
      <c r="F193" s="3">
        <f>ROUND(Source!F185*Source!F176,2)</f>
        <v>189.9</v>
      </c>
      <c r="G193" s="3" t="s">
        <v>242</v>
      </c>
      <c r="H193" s="3" t="s">
        <v>243</v>
      </c>
      <c r="I193" s="3"/>
      <c r="J193" s="3"/>
      <c r="K193" s="3">
        <v>212</v>
      </c>
      <c r="L193" s="3">
        <v>21</v>
      </c>
      <c r="M193" s="3">
        <v>1</v>
      </c>
      <c r="N193" s="3" t="s">
        <v>5</v>
      </c>
    </row>
    <row r="194" spans="1:14" ht="12.75">
      <c r="A194" s="3">
        <v>50</v>
      </c>
      <c r="B194" s="3">
        <f>IF(Source!F194&lt;&gt;0,1,0)</f>
        <v>1</v>
      </c>
      <c r="C194" s="3">
        <v>0</v>
      </c>
      <c r="D194" s="3">
        <v>2</v>
      </c>
      <c r="E194" s="3">
        <v>205</v>
      </c>
      <c r="F194" s="3">
        <f>ROUND(Source!F186*Source!F177,2)</f>
        <v>7713.93</v>
      </c>
      <c r="G194" s="3" t="s">
        <v>244</v>
      </c>
      <c r="H194" s="3" t="s">
        <v>245</v>
      </c>
      <c r="I194" s="3"/>
      <c r="J194" s="3"/>
      <c r="K194" s="3">
        <v>212</v>
      </c>
      <c r="L194" s="3">
        <v>22</v>
      </c>
      <c r="M194" s="3">
        <v>1</v>
      </c>
      <c r="N194" s="3" t="s">
        <v>5</v>
      </c>
    </row>
    <row r="195" spans="1:14" ht="12.75">
      <c r="A195" s="3">
        <v>50</v>
      </c>
      <c r="B195" s="3">
        <f>IF(Source!F195&lt;&gt;0,1,0)</f>
        <v>1</v>
      </c>
      <c r="C195" s="3">
        <v>0</v>
      </c>
      <c r="D195" s="3">
        <v>2</v>
      </c>
      <c r="E195" s="3">
        <v>0</v>
      </c>
      <c r="F195" s="3">
        <f>ROUND(IF(Source!F187=0,((Source!F193+Source!F194)/(Source!F176+Source!F177))*Source!F182,((Source!F193+Source!F194)/(Source!F176+Source!F177))*Source!F182*Source!F187),2)</f>
        <v>6849.29</v>
      </c>
      <c r="G195" s="3" t="s">
        <v>246</v>
      </c>
      <c r="H195" s="3" t="s">
        <v>247</v>
      </c>
      <c r="I195" s="3"/>
      <c r="J195" s="3"/>
      <c r="K195" s="3">
        <v>212</v>
      </c>
      <c r="L195" s="3">
        <v>23</v>
      </c>
      <c r="M195" s="3">
        <v>1</v>
      </c>
      <c r="N195" s="3" t="s">
        <v>5</v>
      </c>
    </row>
    <row r="196" spans="1:14" ht="12.75">
      <c r="A196" s="3">
        <v>50</v>
      </c>
      <c r="B196" s="3">
        <f>IF(Source!F196&lt;&gt;0,1,0)</f>
        <v>1</v>
      </c>
      <c r="C196" s="3">
        <v>0</v>
      </c>
      <c r="D196" s="3">
        <v>2</v>
      </c>
      <c r="E196" s="3">
        <v>0</v>
      </c>
      <c r="F196" s="3">
        <f>ROUND(((Source!F193+Source!F194)/(Source!F176+Source!F177))*Source!F183,2)</f>
        <v>4917.71</v>
      </c>
      <c r="G196" s="3" t="s">
        <v>248</v>
      </c>
      <c r="H196" s="3" t="s">
        <v>249</v>
      </c>
      <c r="I196" s="3"/>
      <c r="J196" s="3"/>
      <c r="K196" s="3">
        <v>212</v>
      </c>
      <c r="L196" s="3">
        <v>24</v>
      </c>
      <c r="M196" s="3">
        <v>1</v>
      </c>
      <c r="N196" s="3" t="s">
        <v>5</v>
      </c>
    </row>
    <row r="197" spans="1:14" ht="12.75">
      <c r="A197" s="3">
        <v>50</v>
      </c>
      <c r="B197" s="3">
        <v>1</v>
      </c>
      <c r="C197" s="3">
        <v>0</v>
      </c>
      <c r="D197" s="3">
        <v>2</v>
      </c>
      <c r="E197" s="3">
        <v>0</v>
      </c>
      <c r="F197" s="3">
        <f>ROUND(Source!F196+Source!F195+Source!F188,2)</f>
        <v>142724.69</v>
      </c>
      <c r="G197" s="3" t="s">
        <v>250</v>
      </c>
      <c r="H197" s="3" t="s">
        <v>251</v>
      </c>
      <c r="I197" s="3"/>
      <c r="J197" s="3"/>
      <c r="K197" s="3">
        <v>212</v>
      </c>
      <c r="L197" s="3">
        <v>25</v>
      </c>
      <c r="M197" s="3">
        <v>0</v>
      </c>
      <c r="N197" s="3" t="s">
        <v>5</v>
      </c>
    </row>
    <row r="198" spans="1:14" ht="12.75">
      <c r="A198" s="3">
        <v>50</v>
      </c>
      <c r="B198" s="3">
        <v>1</v>
      </c>
      <c r="C198" s="3">
        <v>0</v>
      </c>
      <c r="D198" s="3">
        <v>2</v>
      </c>
      <c r="E198" s="3">
        <v>0</v>
      </c>
      <c r="F198" s="3">
        <f>ROUND((Source!F188+Source!F195+Source!F196-Source!F145*Source!F184)*0.031,2)</f>
        <v>2927.51</v>
      </c>
      <c r="G198" s="3" t="s">
        <v>252</v>
      </c>
      <c r="H198" s="3" t="s">
        <v>253</v>
      </c>
      <c r="I198" s="3"/>
      <c r="J198" s="3"/>
      <c r="K198" s="3">
        <v>212</v>
      </c>
      <c r="L198" s="3">
        <v>26</v>
      </c>
      <c r="M198" s="3">
        <v>0</v>
      </c>
      <c r="N198" s="3" t="s">
        <v>5</v>
      </c>
    </row>
    <row r="199" spans="1:14" ht="12.75">
      <c r="A199" s="3">
        <v>50</v>
      </c>
      <c r="B199" s="3">
        <v>1</v>
      </c>
      <c r="C199" s="3">
        <v>0</v>
      </c>
      <c r="D199" s="3">
        <v>2</v>
      </c>
      <c r="E199" s="3">
        <v>0</v>
      </c>
      <c r="F199" s="3">
        <f>ROUND((Source!F188+Source!F195+Source!F196-Source!F145*Source!F184)*0.022,2)</f>
        <v>2077.59</v>
      </c>
      <c r="G199" s="3" t="s">
        <v>254</v>
      </c>
      <c r="H199" s="3" t="s">
        <v>255</v>
      </c>
      <c r="I199" s="3"/>
      <c r="J199" s="3"/>
      <c r="K199" s="3">
        <v>212</v>
      </c>
      <c r="L199" s="3">
        <v>28</v>
      </c>
      <c r="M199" s="3">
        <v>0</v>
      </c>
      <c r="N199" s="3" t="s">
        <v>5</v>
      </c>
    </row>
    <row r="200" spans="1:14" ht="12.75">
      <c r="A200" s="3">
        <v>50</v>
      </c>
      <c r="B200" s="3">
        <v>1</v>
      </c>
      <c r="C200" s="3">
        <v>0</v>
      </c>
      <c r="D200" s="3">
        <v>2</v>
      </c>
      <c r="E200" s="3">
        <v>0</v>
      </c>
      <c r="F200" s="3">
        <f>ROUND(Source!F197+Source!F198+Source!F199,2)</f>
        <v>147729.79</v>
      </c>
      <c r="G200" s="3" t="s">
        <v>256</v>
      </c>
      <c r="H200" s="3" t="s">
        <v>257</v>
      </c>
      <c r="I200" s="3"/>
      <c r="J200" s="3"/>
      <c r="K200" s="3">
        <v>212</v>
      </c>
      <c r="L200" s="3">
        <v>29</v>
      </c>
      <c r="M200" s="3">
        <v>0</v>
      </c>
      <c r="N200" s="3" t="s">
        <v>5</v>
      </c>
    </row>
    <row r="201" spans="1:14" ht="12.75">
      <c r="A201" s="3">
        <v>50</v>
      </c>
      <c r="B201" s="3">
        <v>1</v>
      </c>
      <c r="C201" s="3">
        <v>0</v>
      </c>
      <c r="D201" s="3">
        <v>2</v>
      </c>
      <c r="E201" s="3">
        <v>0</v>
      </c>
      <c r="F201" s="3">
        <f>ROUND(Source!F200/100,2)</f>
        <v>1477.3</v>
      </c>
      <c r="G201" s="3" t="s">
        <v>258</v>
      </c>
      <c r="H201" s="3" t="s">
        <v>259</v>
      </c>
      <c r="I201" s="3"/>
      <c r="J201" s="3"/>
      <c r="K201" s="3">
        <v>212</v>
      </c>
      <c r="L201" s="3">
        <v>30</v>
      </c>
      <c r="M201" s="3">
        <v>0</v>
      </c>
      <c r="N201" s="3" t="s">
        <v>5</v>
      </c>
    </row>
    <row r="202" spans="1:14" ht="12.75">
      <c r="A202" s="3">
        <v>50</v>
      </c>
      <c r="B202" s="3">
        <f>IF(Source!F202&lt;&gt;0,1,0)</f>
        <v>1</v>
      </c>
      <c r="C202" s="3">
        <v>0</v>
      </c>
      <c r="D202" s="3">
        <v>2</v>
      </c>
      <c r="E202" s="3">
        <v>0</v>
      </c>
      <c r="F202" s="3">
        <f>ROUND(Source!F200+Source!F201,2)</f>
        <v>149207.09</v>
      </c>
      <c r="G202" s="3" t="s">
        <v>260</v>
      </c>
      <c r="H202" s="3" t="s">
        <v>261</v>
      </c>
      <c r="I202" s="3"/>
      <c r="J202" s="3"/>
      <c r="K202" s="3">
        <v>212</v>
      </c>
      <c r="L202" s="3">
        <v>31</v>
      </c>
      <c r="M202" s="3">
        <v>1</v>
      </c>
      <c r="N202" s="3" t="s">
        <v>5</v>
      </c>
    </row>
    <row r="203" spans="1:14" ht="12.75">
      <c r="A203" s="3">
        <v>50</v>
      </c>
      <c r="B203" s="3">
        <f>IF(Source!F203&lt;&gt;0,1,0)</f>
        <v>1</v>
      </c>
      <c r="C203" s="3">
        <v>0</v>
      </c>
      <c r="D203" s="3">
        <v>2</v>
      </c>
      <c r="E203" s="3">
        <v>0</v>
      </c>
      <c r="F203" s="3">
        <f>ROUND(18,2)</f>
        <v>18</v>
      </c>
      <c r="G203" s="3" t="s">
        <v>262</v>
      </c>
      <c r="H203" s="3" t="s">
        <v>263</v>
      </c>
      <c r="I203" s="3"/>
      <c r="J203" s="3"/>
      <c r="K203" s="3">
        <v>212</v>
      </c>
      <c r="L203" s="3">
        <v>32</v>
      </c>
      <c r="M203" s="3">
        <v>1</v>
      </c>
      <c r="N203" s="3" t="s">
        <v>5</v>
      </c>
    </row>
    <row r="204" spans="1:14" ht="12.75">
      <c r="A204" s="3">
        <v>50</v>
      </c>
      <c r="B204" s="3">
        <f>IF(Source!F204&lt;&gt;0,1,0)</f>
        <v>1</v>
      </c>
      <c r="C204" s="3">
        <v>0</v>
      </c>
      <c r="D204" s="3">
        <v>2</v>
      </c>
      <c r="E204" s="3">
        <v>0</v>
      </c>
      <c r="F204" s="3">
        <f>ROUND(IF(Source!F203=0,0,Source!F202*Source!F203/100),2)</f>
        <v>26857.28</v>
      </c>
      <c r="G204" s="3" t="s">
        <v>264</v>
      </c>
      <c r="H204" s="3" t="s">
        <v>265</v>
      </c>
      <c r="I204" s="3"/>
      <c r="J204" s="3"/>
      <c r="K204" s="3">
        <v>212</v>
      </c>
      <c r="L204" s="3">
        <v>33</v>
      </c>
      <c r="M204" s="3">
        <v>1</v>
      </c>
      <c r="N204" s="3" t="s">
        <v>5</v>
      </c>
    </row>
    <row r="205" spans="1:14" ht="12.75">
      <c r="A205" s="3">
        <v>50</v>
      </c>
      <c r="B205" s="3">
        <f>IF(Source!F205&lt;&gt;0,1,0)</f>
        <v>1</v>
      </c>
      <c r="C205" s="3">
        <v>0</v>
      </c>
      <c r="D205" s="3">
        <v>2</v>
      </c>
      <c r="E205" s="3">
        <v>0</v>
      </c>
      <c r="F205" s="3">
        <f>ROUND(IF(Source!F203=0,0,Source!F204+Source!F202),2)</f>
        <v>176064.37</v>
      </c>
      <c r="G205" s="3" t="s">
        <v>266</v>
      </c>
      <c r="H205" s="3" t="s">
        <v>267</v>
      </c>
      <c r="I205" s="3"/>
      <c r="J205" s="3"/>
      <c r="K205" s="3">
        <v>212</v>
      </c>
      <c r="L205" s="3">
        <v>34</v>
      </c>
      <c r="M205" s="3">
        <v>1</v>
      </c>
      <c r="N205" s="3" t="s">
        <v>5</v>
      </c>
    </row>
    <row r="209" spans="1:6" ht="12.75">
      <c r="A209">
        <v>65</v>
      </c>
      <c r="C209">
        <v>1</v>
      </c>
      <c r="D209">
        <v>1</v>
      </c>
      <c r="E209">
        <v>150</v>
      </c>
      <c r="F209" t="s">
        <v>268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V314"/>
  <sheetViews>
    <sheetView workbookViewId="0" topLeftCell="A1">
      <selection activeCell="A1" sqref="A1"/>
    </sheetView>
  </sheetViews>
  <sheetFormatPr defaultColWidth="9.140625" defaultRowHeight="12.75"/>
  <sheetData>
    <row r="1" spans="1:48" ht="12.75">
      <c r="A1">
        <f>ROW(Source!A28)</f>
        <v>28</v>
      </c>
      <c r="B1">
        <v>7700041</v>
      </c>
      <c r="C1">
        <v>7699874</v>
      </c>
      <c r="D1">
        <v>5603348</v>
      </c>
      <c r="E1">
        <v>1</v>
      </c>
      <c r="F1">
        <v>1</v>
      </c>
      <c r="G1">
        <v>1</v>
      </c>
      <c r="H1">
        <v>1</v>
      </c>
      <c r="I1" t="s">
        <v>269</v>
      </c>
      <c r="K1" t="s">
        <v>270</v>
      </c>
      <c r="L1">
        <v>1476</v>
      </c>
      <c r="N1">
        <v>1013</v>
      </c>
      <c r="O1" t="s">
        <v>271</v>
      </c>
      <c r="P1" t="s">
        <v>272</v>
      </c>
      <c r="Q1">
        <v>1</v>
      </c>
      <c r="Y1">
        <v>5.15</v>
      </c>
      <c r="AA1">
        <v>0</v>
      </c>
      <c r="AB1">
        <v>0</v>
      </c>
      <c r="AC1">
        <v>0</v>
      </c>
      <c r="AD1">
        <v>8.84</v>
      </c>
      <c r="AN1">
        <v>0</v>
      </c>
      <c r="AO1">
        <v>1</v>
      </c>
      <c r="AP1">
        <v>0</v>
      </c>
      <c r="AQ1">
        <v>0</v>
      </c>
      <c r="AR1">
        <v>0</v>
      </c>
      <c r="AT1">
        <v>5.15</v>
      </c>
      <c r="AV1">
        <v>1</v>
      </c>
    </row>
    <row r="2" spans="1:48" ht="12.75">
      <c r="A2">
        <f>ROW(Source!A28)</f>
        <v>28</v>
      </c>
      <c r="B2">
        <v>7700042</v>
      </c>
      <c r="C2">
        <v>7699874</v>
      </c>
      <c r="D2">
        <v>121548</v>
      </c>
      <c r="E2">
        <v>1</v>
      </c>
      <c r="F2">
        <v>1</v>
      </c>
      <c r="G2">
        <v>1</v>
      </c>
      <c r="H2">
        <v>1</v>
      </c>
      <c r="I2" t="s">
        <v>24</v>
      </c>
      <c r="K2" t="s">
        <v>273</v>
      </c>
      <c r="L2">
        <v>608254</v>
      </c>
      <c r="N2">
        <v>1013</v>
      </c>
      <c r="O2" t="s">
        <v>274</v>
      </c>
      <c r="P2" t="s">
        <v>274</v>
      </c>
      <c r="Q2">
        <v>1</v>
      </c>
      <c r="Y2">
        <v>0.07</v>
      </c>
      <c r="AA2">
        <v>0</v>
      </c>
      <c r="AB2">
        <v>0</v>
      </c>
      <c r="AC2">
        <v>0</v>
      </c>
      <c r="AD2">
        <v>0</v>
      </c>
      <c r="AN2">
        <v>0</v>
      </c>
      <c r="AO2">
        <v>1</v>
      </c>
      <c r="AP2">
        <v>0</v>
      </c>
      <c r="AQ2">
        <v>0</v>
      </c>
      <c r="AR2">
        <v>0</v>
      </c>
      <c r="AT2">
        <v>0.07</v>
      </c>
      <c r="AV2">
        <v>2</v>
      </c>
    </row>
    <row r="3" spans="1:48" ht="12.75">
      <c r="A3">
        <f>ROW(Source!A28)</f>
        <v>28</v>
      </c>
      <c r="B3">
        <v>7700043</v>
      </c>
      <c r="C3">
        <v>7699874</v>
      </c>
      <c r="D3">
        <v>6298444</v>
      </c>
      <c r="E3">
        <v>1</v>
      </c>
      <c r="F3">
        <v>1</v>
      </c>
      <c r="G3">
        <v>1</v>
      </c>
      <c r="H3">
        <v>2</v>
      </c>
      <c r="I3" t="s">
        <v>275</v>
      </c>
      <c r="J3" t="s">
        <v>276</v>
      </c>
      <c r="K3" t="s">
        <v>277</v>
      </c>
      <c r="L3">
        <v>1480</v>
      </c>
      <c r="N3">
        <v>1013</v>
      </c>
      <c r="O3" t="s">
        <v>278</v>
      </c>
      <c r="P3" t="s">
        <v>279</v>
      </c>
      <c r="Q3">
        <v>1</v>
      </c>
      <c r="Y3">
        <v>0.04</v>
      </c>
      <c r="AA3">
        <v>0</v>
      </c>
      <c r="AB3">
        <v>134.99</v>
      </c>
      <c r="AC3">
        <v>11.81</v>
      </c>
      <c r="AD3">
        <v>0</v>
      </c>
      <c r="AN3">
        <v>0</v>
      </c>
      <c r="AO3">
        <v>1</v>
      </c>
      <c r="AP3">
        <v>0</v>
      </c>
      <c r="AQ3">
        <v>0</v>
      </c>
      <c r="AR3">
        <v>0</v>
      </c>
      <c r="AT3">
        <v>0.04</v>
      </c>
      <c r="AV3">
        <v>0</v>
      </c>
    </row>
    <row r="4" spans="1:48" ht="12.75">
      <c r="A4">
        <f>ROW(Source!A28)</f>
        <v>28</v>
      </c>
      <c r="B4">
        <v>7700044</v>
      </c>
      <c r="C4">
        <v>7699874</v>
      </c>
      <c r="D4">
        <v>6298559</v>
      </c>
      <c r="E4">
        <v>1</v>
      </c>
      <c r="F4">
        <v>1</v>
      </c>
      <c r="G4">
        <v>1</v>
      </c>
      <c r="H4">
        <v>2</v>
      </c>
      <c r="I4" t="s">
        <v>280</v>
      </c>
      <c r="J4" t="s">
        <v>281</v>
      </c>
      <c r="K4" t="s">
        <v>282</v>
      </c>
      <c r="L4">
        <v>1368</v>
      </c>
      <c r="N4">
        <v>1011</v>
      </c>
      <c r="O4" t="s">
        <v>283</v>
      </c>
      <c r="P4" t="s">
        <v>283</v>
      </c>
      <c r="Q4">
        <v>1</v>
      </c>
      <c r="Y4">
        <v>0.23</v>
      </c>
      <c r="AA4">
        <v>0</v>
      </c>
      <c r="AB4">
        <v>2.94</v>
      </c>
      <c r="AC4">
        <v>0</v>
      </c>
      <c r="AD4">
        <v>0</v>
      </c>
      <c r="AN4">
        <v>0</v>
      </c>
      <c r="AO4">
        <v>1</v>
      </c>
      <c r="AP4">
        <v>0</v>
      </c>
      <c r="AQ4">
        <v>0</v>
      </c>
      <c r="AR4">
        <v>0</v>
      </c>
      <c r="AT4">
        <v>0.23</v>
      </c>
      <c r="AV4">
        <v>0</v>
      </c>
    </row>
    <row r="5" spans="1:48" ht="12.75">
      <c r="A5">
        <f>ROW(Source!A28)</f>
        <v>28</v>
      </c>
      <c r="B5">
        <v>7700045</v>
      </c>
      <c r="C5">
        <v>7699874</v>
      </c>
      <c r="D5">
        <v>6300357</v>
      </c>
      <c r="E5">
        <v>1</v>
      </c>
      <c r="F5">
        <v>1</v>
      </c>
      <c r="G5">
        <v>1</v>
      </c>
      <c r="H5">
        <v>2</v>
      </c>
      <c r="I5" t="s">
        <v>284</v>
      </c>
      <c r="J5" t="s">
        <v>285</v>
      </c>
      <c r="K5" t="s">
        <v>286</v>
      </c>
      <c r="L5">
        <v>1480</v>
      </c>
      <c r="N5">
        <v>1013</v>
      </c>
      <c r="O5" t="s">
        <v>278</v>
      </c>
      <c r="P5" t="s">
        <v>279</v>
      </c>
      <c r="Q5">
        <v>1</v>
      </c>
      <c r="Y5">
        <v>0.53</v>
      </c>
      <c r="AA5">
        <v>0</v>
      </c>
      <c r="AB5">
        <v>3.72</v>
      </c>
      <c r="AC5">
        <v>0</v>
      </c>
      <c r="AD5">
        <v>0</v>
      </c>
      <c r="AN5">
        <v>0</v>
      </c>
      <c r="AO5">
        <v>1</v>
      </c>
      <c r="AP5">
        <v>0</v>
      </c>
      <c r="AQ5">
        <v>0</v>
      </c>
      <c r="AR5">
        <v>0</v>
      </c>
      <c r="AT5">
        <v>0.53</v>
      </c>
      <c r="AV5">
        <v>0</v>
      </c>
    </row>
    <row r="6" spans="1:48" ht="12.75">
      <c r="A6">
        <f>ROW(Source!A28)</f>
        <v>28</v>
      </c>
      <c r="B6">
        <v>7700046</v>
      </c>
      <c r="C6">
        <v>7699874</v>
      </c>
      <c r="D6">
        <v>6300745</v>
      </c>
      <c r="E6">
        <v>1</v>
      </c>
      <c r="F6">
        <v>1</v>
      </c>
      <c r="G6">
        <v>1</v>
      </c>
      <c r="H6">
        <v>2</v>
      </c>
      <c r="I6" t="s">
        <v>287</v>
      </c>
      <c r="J6" t="s">
        <v>288</v>
      </c>
      <c r="K6" t="s">
        <v>289</v>
      </c>
      <c r="L6">
        <v>1368</v>
      </c>
      <c r="N6">
        <v>1011</v>
      </c>
      <c r="O6" t="s">
        <v>283</v>
      </c>
      <c r="P6" t="s">
        <v>283</v>
      </c>
      <c r="Q6">
        <v>1</v>
      </c>
      <c r="Y6">
        <v>0.03</v>
      </c>
      <c r="AA6">
        <v>0</v>
      </c>
      <c r="AB6">
        <v>60.77</v>
      </c>
      <c r="AC6">
        <v>11.81</v>
      </c>
      <c r="AD6">
        <v>0</v>
      </c>
      <c r="AN6">
        <v>0</v>
      </c>
      <c r="AO6">
        <v>1</v>
      </c>
      <c r="AP6">
        <v>0</v>
      </c>
      <c r="AQ6">
        <v>0</v>
      </c>
      <c r="AR6">
        <v>0</v>
      </c>
      <c r="AT6">
        <v>0.03</v>
      </c>
      <c r="AV6">
        <v>0</v>
      </c>
    </row>
    <row r="7" spans="1:48" ht="12.75">
      <c r="A7">
        <f>ROW(Source!A28)</f>
        <v>28</v>
      </c>
      <c r="B7">
        <v>7700047</v>
      </c>
      <c r="C7">
        <v>7699874</v>
      </c>
      <c r="D7">
        <v>6331375</v>
      </c>
      <c r="E7">
        <v>1</v>
      </c>
      <c r="F7">
        <v>1</v>
      </c>
      <c r="G7">
        <v>1</v>
      </c>
      <c r="H7">
        <v>3</v>
      </c>
      <c r="I7" t="s">
        <v>290</v>
      </c>
      <c r="J7" t="s">
        <v>291</v>
      </c>
      <c r="K7" t="s">
        <v>292</v>
      </c>
      <c r="L7">
        <v>1348</v>
      </c>
      <c r="N7">
        <v>1009</v>
      </c>
      <c r="O7" t="s">
        <v>293</v>
      </c>
      <c r="P7" t="s">
        <v>293</v>
      </c>
      <c r="Q7">
        <v>1000</v>
      </c>
      <c r="Y7">
        <v>1E-05</v>
      </c>
      <c r="AA7">
        <v>15826.97</v>
      </c>
      <c r="AB7">
        <v>0</v>
      </c>
      <c r="AC7">
        <v>0</v>
      </c>
      <c r="AD7">
        <v>0</v>
      </c>
      <c r="AN7">
        <v>0</v>
      </c>
      <c r="AO7">
        <v>1</v>
      </c>
      <c r="AP7">
        <v>0</v>
      </c>
      <c r="AQ7">
        <v>0</v>
      </c>
      <c r="AR7">
        <v>0</v>
      </c>
      <c r="AT7">
        <v>1E-05</v>
      </c>
      <c r="AV7">
        <v>0</v>
      </c>
    </row>
    <row r="8" spans="1:48" ht="12.75">
      <c r="A8">
        <f>ROW(Source!A28)</f>
        <v>28</v>
      </c>
      <c r="B8">
        <v>7700048</v>
      </c>
      <c r="C8">
        <v>7699874</v>
      </c>
      <c r="D8">
        <v>6331648</v>
      </c>
      <c r="E8">
        <v>1</v>
      </c>
      <c r="F8">
        <v>1</v>
      </c>
      <c r="G8">
        <v>1</v>
      </c>
      <c r="H8">
        <v>3</v>
      </c>
      <c r="I8" t="s">
        <v>294</v>
      </c>
      <c r="J8" t="s">
        <v>295</v>
      </c>
      <c r="K8" t="s">
        <v>296</v>
      </c>
      <c r="L8">
        <v>1348</v>
      </c>
      <c r="N8">
        <v>1009</v>
      </c>
      <c r="O8" t="s">
        <v>293</v>
      </c>
      <c r="P8" t="s">
        <v>293</v>
      </c>
      <c r="Q8">
        <v>1000</v>
      </c>
      <c r="Y8">
        <v>0.007</v>
      </c>
      <c r="AA8">
        <v>8766.9</v>
      </c>
      <c r="AB8">
        <v>0</v>
      </c>
      <c r="AC8">
        <v>0</v>
      </c>
      <c r="AD8">
        <v>0</v>
      </c>
      <c r="AN8">
        <v>0</v>
      </c>
      <c r="AO8">
        <v>1</v>
      </c>
      <c r="AP8">
        <v>0</v>
      </c>
      <c r="AQ8">
        <v>0</v>
      </c>
      <c r="AR8">
        <v>0</v>
      </c>
      <c r="AT8">
        <v>0.007</v>
      </c>
      <c r="AV8">
        <v>0</v>
      </c>
    </row>
    <row r="9" spans="1:48" ht="12.75">
      <c r="A9">
        <f>ROW(Source!A28)</f>
        <v>28</v>
      </c>
      <c r="B9">
        <v>7700049</v>
      </c>
      <c r="C9">
        <v>7699874</v>
      </c>
      <c r="D9">
        <v>6331829</v>
      </c>
      <c r="E9">
        <v>1</v>
      </c>
      <c r="F9">
        <v>1</v>
      </c>
      <c r="G9">
        <v>1</v>
      </c>
      <c r="H9">
        <v>3</v>
      </c>
      <c r="I9" t="s">
        <v>297</v>
      </c>
      <c r="J9" t="s">
        <v>298</v>
      </c>
      <c r="K9" t="s">
        <v>299</v>
      </c>
      <c r="L9">
        <v>1348</v>
      </c>
      <c r="N9">
        <v>1009</v>
      </c>
      <c r="O9" t="s">
        <v>293</v>
      </c>
      <c r="P9" t="s">
        <v>293</v>
      </c>
      <c r="Q9">
        <v>1000</v>
      </c>
      <c r="Y9">
        <v>1E-05</v>
      </c>
      <c r="AA9">
        <v>6656.36</v>
      </c>
      <c r="AB9">
        <v>0</v>
      </c>
      <c r="AC9">
        <v>0</v>
      </c>
      <c r="AD9">
        <v>0</v>
      </c>
      <c r="AN9">
        <v>0</v>
      </c>
      <c r="AO9">
        <v>1</v>
      </c>
      <c r="AP9">
        <v>0</v>
      </c>
      <c r="AQ9">
        <v>0</v>
      </c>
      <c r="AR9">
        <v>0</v>
      </c>
      <c r="AT9">
        <v>1E-05</v>
      </c>
      <c r="AV9">
        <v>0</v>
      </c>
    </row>
    <row r="10" spans="1:48" ht="12.75">
      <c r="A10">
        <f>ROW(Source!A28)</f>
        <v>28</v>
      </c>
      <c r="B10">
        <v>7700050</v>
      </c>
      <c r="C10">
        <v>7699874</v>
      </c>
      <c r="D10">
        <v>6332051</v>
      </c>
      <c r="E10">
        <v>1</v>
      </c>
      <c r="F10">
        <v>1</v>
      </c>
      <c r="G10">
        <v>1</v>
      </c>
      <c r="H10">
        <v>3</v>
      </c>
      <c r="I10" t="s">
        <v>300</v>
      </c>
      <c r="J10" t="s">
        <v>301</v>
      </c>
      <c r="K10" t="s">
        <v>302</v>
      </c>
      <c r="L10">
        <v>1348</v>
      </c>
      <c r="N10">
        <v>1009</v>
      </c>
      <c r="O10" t="s">
        <v>293</v>
      </c>
      <c r="P10" t="s">
        <v>293</v>
      </c>
      <c r="Q10">
        <v>1000</v>
      </c>
      <c r="Y10">
        <v>0.00012</v>
      </c>
      <c r="AA10">
        <v>9181.09</v>
      </c>
      <c r="AB10">
        <v>0</v>
      </c>
      <c r="AC10">
        <v>0</v>
      </c>
      <c r="AD10">
        <v>0</v>
      </c>
      <c r="AN10">
        <v>0</v>
      </c>
      <c r="AO10">
        <v>1</v>
      </c>
      <c r="AP10">
        <v>0</v>
      </c>
      <c r="AQ10">
        <v>0</v>
      </c>
      <c r="AR10">
        <v>0</v>
      </c>
      <c r="AT10">
        <v>0.00012</v>
      </c>
      <c r="AV10">
        <v>0</v>
      </c>
    </row>
    <row r="11" spans="1:48" ht="12.75">
      <c r="A11">
        <f>ROW(Source!A28)</f>
        <v>28</v>
      </c>
      <c r="B11">
        <v>7700051</v>
      </c>
      <c r="C11">
        <v>7699874</v>
      </c>
      <c r="D11">
        <v>6332636</v>
      </c>
      <c r="E11">
        <v>1</v>
      </c>
      <c r="F11">
        <v>1</v>
      </c>
      <c r="G11">
        <v>1</v>
      </c>
      <c r="H11">
        <v>3</v>
      </c>
      <c r="I11" t="s">
        <v>303</v>
      </c>
      <c r="J11" t="s">
        <v>304</v>
      </c>
      <c r="K11" t="s">
        <v>305</v>
      </c>
      <c r="L11">
        <v>1346</v>
      </c>
      <c r="N11">
        <v>1009</v>
      </c>
      <c r="O11" t="s">
        <v>306</v>
      </c>
      <c r="P11" t="s">
        <v>306</v>
      </c>
      <c r="Q11">
        <v>1</v>
      </c>
      <c r="Y11">
        <v>0.2378</v>
      </c>
      <c r="AA11">
        <v>25.75</v>
      </c>
      <c r="AB11">
        <v>0</v>
      </c>
      <c r="AC11">
        <v>0</v>
      </c>
      <c r="AD11">
        <v>0</v>
      </c>
      <c r="AN11">
        <v>0</v>
      </c>
      <c r="AO11">
        <v>1</v>
      </c>
      <c r="AP11">
        <v>0</v>
      </c>
      <c r="AQ11">
        <v>0</v>
      </c>
      <c r="AR11">
        <v>0</v>
      </c>
      <c r="AT11">
        <v>0.2378</v>
      </c>
      <c r="AV11">
        <v>0</v>
      </c>
    </row>
    <row r="12" spans="1:48" ht="12.75">
      <c r="A12">
        <f>ROW(Source!A28)</f>
        <v>28</v>
      </c>
      <c r="B12">
        <v>7700052</v>
      </c>
      <c r="C12">
        <v>7699874</v>
      </c>
      <c r="D12">
        <v>6337492</v>
      </c>
      <c r="E12">
        <v>1</v>
      </c>
      <c r="F12">
        <v>1</v>
      </c>
      <c r="G12">
        <v>1</v>
      </c>
      <c r="H12">
        <v>3</v>
      </c>
      <c r="I12" t="s">
        <v>307</v>
      </c>
      <c r="J12" t="s">
        <v>308</v>
      </c>
      <c r="K12" t="s">
        <v>309</v>
      </c>
      <c r="L12">
        <v>1354</v>
      </c>
      <c r="N12">
        <v>1010</v>
      </c>
      <c r="O12" t="s">
        <v>20</v>
      </c>
      <c r="P12" t="s">
        <v>20</v>
      </c>
      <c r="Q12">
        <v>1</v>
      </c>
      <c r="Y12">
        <v>10</v>
      </c>
      <c r="AA12">
        <v>0.27</v>
      </c>
      <c r="AB12">
        <v>0</v>
      </c>
      <c r="AC12">
        <v>0</v>
      </c>
      <c r="AD12">
        <v>0</v>
      </c>
      <c r="AN12">
        <v>0</v>
      </c>
      <c r="AO12">
        <v>1</v>
      </c>
      <c r="AP12">
        <v>0</v>
      </c>
      <c r="AQ12">
        <v>0</v>
      </c>
      <c r="AR12">
        <v>0</v>
      </c>
      <c r="AT12">
        <v>10</v>
      </c>
      <c r="AV12">
        <v>0</v>
      </c>
    </row>
    <row r="13" spans="1:48" ht="12.75">
      <c r="A13">
        <f>ROW(Source!A28)</f>
        <v>28</v>
      </c>
      <c r="B13">
        <v>7700053</v>
      </c>
      <c r="C13">
        <v>7699874</v>
      </c>
      <c r="D13">
        <v>6337613</v>
      </c>
      <c r="E13">
        <v>1</v>
      </c>
      <c r="F13">
        <v>1</v>
      </c>
      <c r="G13">
        <v>1</v>
      </c>
      <c r="H13">
        <v>3</v>
      </c>
      <c r="I13" t="s">
        <v>310</v>
      </c>
      <c r="J13" t="s">
        <v>311</v>
      </c>
      <c r="K13" t="s">
        <v>312</v>
      </c>
      <c r="L13">
        <v>1348</v>
      </c>
      <c r="N13">
        <v>1009</v>
      </c>
      <c r="O13" t="s">
        <v>293</v>
      </c>
      <c r="P13" t="s">
        <v>293</v>
      </c>
      <c r="Q13">
        <v>1000</v>
      </c>
      <c r="Y13">
        <v>1E-05</v>
      </c>
      <c r="AA13">
        <v>19225.64</v>
      </c>
      <c r="AB13">
        <v>0</v>
      </c>
      <c r="AC13">
        <v>0</v>
      </c>
      <c r="AD13">
        <v>0</v>
      </c>
      <c r="AN13">
        <v>0</v>
      </c>
      <c r="AO13">
        <v>1</v>
      </c>
      <c r="AP13">
        <v>0</v>
      </c>
      <c r="AQ13">
        <v>0</v>
      </c>
      <c r="AR13">
        <v>0</v>
      </c>
      <c r="AT13">
        <v>1E-05</v>
      </c>
      <c r="AV13">
        <v>0</v>
      </c>
    </row>
    <row r="14" spans="1:48" ht="12.75">
      <c r="A14">
        <f>ROW(Source!A28)</f>
        <v>28</v>
      </c>
      <c r="B14">
        <v>7700054</v>
      </c>
      <c r="C14">
        <v>7699874</v>
      </c>
      <c r="D14">
        <v>6337819</v>
      </c>
      <c r="E14">
        <v>1</v>
      </c>
      <c r="F14">
        <v>1</v>
      </c>
      <c r="G14">
        <v>1</v>
      </c>
      <c r="H14">
        <v>3</v>
      </c>
      <c r="I14" t="s">
        <v>313</v>
      </c>
      <c r="J14" t="s">
        <v>314</v>
      </c>
      <c r="K14" t="s">
        <v>315</v>
      </c>
      <c r="L14">
        <v>1348</v>
      </c>
      <c r="N14">
        <v>1009</v>
      </c>
      <c r="O14" t="s">
        <v>293</v>
      </c>
      <c r="P14" t="s">
        <v>293</v>
      </c>
      <c r="Q14">
        <v>1000</v>
      </c>
      <c r="Y14">
        <v>2E-05</v>
      </c>
      <c r="AA14">
        <v>32532.59</v>
      </c>
      <c r="AB14">
        <v>0</v>
      </c>
      <c r="AC14">
        <v>0</v>
      </c>
      <c r="AD14">
        <v>0</v>
      </c>
      <c r="AN14">
        <v>0</v>
      </c>
      <c r="AO14">
        <v>1</v>
      </c>
      <c r="AP14">
        <v>0</v>
      </c>
      <c r="AQ14">
        <v>0</v>
      </c>
      <c r="AR14">
        <v>0</v>
      </c>
      <c r="AT14">
        <v>2E-05</v>
      </c>
      <c r="AV14">
        <v>0</v>
      </c>
    </row>
    <row r="15" spans="1:48" ht="12.75">
      <c r="A15">
        <f>ROW(Source!A28)</f>
        <v>28</v>
      </c>
      <c r="B15">
        <v>7700055</v>
      </c>
      <c r="C15">
        <v>7699874</v>
      </c>
      <c r="D15">
        <v>6342302</v>
      </c>
      <c r="E15">
        <v>1</v>
      </c>
      <c r="F15">
        <v>1</v>
      </c>
      <c r="G15">
        <v>1</v>
      </c>
      <c r="H15">
        <v>3</v>
      </c>
      <c r="I15" t="s">
        <v>316</v>
      </c>
      <c r="J15" t="s">
        <v>317</v>
      </c>
      <c r="K15" t="s">
        <v>318</v>
      </c>
      <c r="L15">
        <v>1346</v>
      </c>
      <c r="N15">
        <v>1009</v>
      </c>
      <c r="O15" t="s">
        <v>306</v>
      </c>
      <c r="P15" t="s">
        <v>306</v>
      </c>
      <c r="Q15">
        <v>1</v>
      </c>
      <c r="Y15">
        <v>3</v>
      </c>
      <c r="AA15">
        <v>4049.53</v>
      </c>
      <c r="AB15">
        <v>0</v>
      </c>
      <c r="AC15">
        <v>0</v>
      </c>
      <c r="AD15">
        <v>0</v>
      </c>
      <c r="AN15">
        <v>0</v>
      </c>
      <c r="AO15">
        <v>1</v>
      </c>
      <c r="AP15">
        <v>0</v>
      </c>
      <c r="AQ15">
        <v>0</v>
      </c>
      <c r="AR15">
        <v>0</v>
      </c>
      <c r="AT15">
        <v>3</v>
      </c>
      <c r="AV15">
        <v>0</v>
      </c>
    </row>
    <row r="16" spans="1:48" ht="12.75">
      <c r="A16">
        <f>ROW(Source!A29)</f>
        <v>29</v>
      </c>
      <c r="B16">
        <v>7700057</v>
      </c>
      <c r="C16">
        <v>7699881</v>
      </c>
      <c r="D16">
        <v>5612288</v>
      </c>
      <c r="E16">
        <v>1</v>
      </c>
      <c r="F16">
        <v>1</v>
      </c>
      <c r="G16">
        <v>1</v>
      </c>
      <c r="H16">
        <v>1</v>
      </c>
      <c r="I16" t="s">
        <v>319</v>
      </c>
      <c r="K16" t="s">
        <v>320</v>
      </c>
      <c r="L16">
        <v>1476</v>
      </c>
      <c r="N16">
        <v>1013</v>
      </c>
      <c r="O16" t="s">
        <v>271</v>
      </c>
      <c r="P16" t="s">
        <v>272</v>
      </c>
      <c r="Q16">
        <v>1</v>
      </c>
      <c r="Y16">
        <v>2.25</v>
      </c>
      <c r="AA16">
        <v>0</v>
      </c>
      <c r="AB16">
        <v>0</v>
      </c>
      <c r="AC16">
        <v>0</v>
      </c>
      <c r="AD16">
        <v>9.91</v>
      </c>
      <c r="AN16">
        <v>0</v>
      </c>
      <c r="AO16">
        <v>1</v>
      </c>
      <c r="AP16">
        <v>0</v>
      </c>
      <c r="AQ16">
        <v>0</v>
      </c>
      <c r="AR16">
        <v>0</v>
      </c>
      <c r="AT16">
        <v>2.25</v>
      </c>
      <c r="AV16">
        <v>1</v>
      </c>
    </row>
    <row r="17" spans="1:48" ht="12.75">
      <c r="A17">
        <f>ROW(Source!A29)</f>
        <v>29</v>
      </c>
      <c r="B17">
        <v>7700058</v>
      </c>
      <c r="C17">
        <v>7699881</v>
      </c>
      <c r="D17">
        <v>121548</v>
      </c>
      <c r="E17">
        <v>1</v>
      </c>
      <c r="F17">
        <v>1</v>
      </c>
      <c r="G17">
        <v>1</v>
      </c>
      <c r="H17">
        <v>1</v>
      </c>
      <c r="I17" t="s">
        <v>24</v>
      </c>
      <c r="K17" t="s">
        <v>273</v>
      </c>
      <c r="L17">
        <v>608254</v>
      </c>
      <c r="N17">
        <v>1013</v>
      </c>
      <c r="O17" t="s">
        <v>274</v>
      </c>
      <c r="P17" t="s">
        <v>274</v>
      </c>
      <c r="Q17">
        <v>1</v>
      </c>
      <c r="Y17">
        <v>0.03</v>
      </c>
      <c r="AA17">
        <v>0</v>
      </c>
      <c r="AB17">
        <v>0</v>
      </c>
      <c r="AC17">
        <v>0</v>
      </c>
      <c r="AD17">
        <v>0</v>
      </c>
      <c r="AN17">
        <v>0</v>
      </c>
      <c r="AO17">
        <v>1</v>
      </c>
      <c r="AP17">
        <v>0</v>
      </c>
      <c r="AQ17">
        <v>0</v>
      </c>
      <c r="AR17">
        <v>0</v>
      </c>
      <c r="AT17">
        <v>0.03</v>
      </c>
      <c r="AV17">
        <v>2</v>
      </c>
    </row>
    <row r="18" spans="1:48" ht="12.75">
      <c r="A18">
        <f>ROW(Source!A29)</f>
        <v>29</v>
      </c>
      <c r="B18">
        <v>7700059</v>
      </c>
      <c r="C18">
        <v>7699881</v>
      </c>
      <c r="D18">
        <v>6298559</v>
      </c>
      <c r="E18">
        <v>1</v>
      </c>
      <c r="F18">
        <v>1</v>
      </c>
      <c r="G18">
        <v>1</v>
      </c>
      <c r="H18">
        <v>2</v>
      </c>
      <c r="I18" t="s">
        <v>280</v>
      </c>
      <c r="J18" t="s">
        <v>281</v>
      </c>
      <c r="K18" t="s">
        <v>282</v>
      </c>
      <c r="L18">
        <v>1368</v>
      </c>
      <c r="N18">
        <v>1011</v>
      </c>
      <c r="O18" t="s">
        <v>283</v>
      </c>
      <c r="P18" t="s">
        <v>283</v>
      </c>
      <c r="Q18">
        <v>1</v>
      </c>
      <c r="Y18">
        <v>0.5</v>
      </c>
      <c r="AA18">
        <v>0</v>
      </c>
      <c r="AB18">
        <v>2.94</v>
      </c>
      <c r="AC18">
        <v>0</v>
      </c>
      <c r="AD18">
        <v>0</v>
      </c>
      <c r="AN18">
        <v>0</v>
      </c>
      <c r="AO18">
        <v>1</v>
      </c>
      <c r="AP18">
        <v>0</v>
      </c>
      <c r="AQ18">
        <v>0</v>
      </c>
      <c r="AR18">
        <v>0</v>
      </c>
      <c r="AT18">
        <v>0.5</v>
      </c>
      <c r="AV18">
        <v>0</v>
      </c>
    </row>
    <row r="19" spans="1:48" ht="12.75">
      <c r="A19">
        <f>ROW(Source!A29)</f>
        <v>29</v>
      </c>
      <c r="B19">
        <v>7700060</v>
      </c>
      <c r="C19">
        <v>7699881</v>
      </c>
      <c r="D19">
        <v>6300353</v>
      </c>
      <c r="E19">
        <v>1</v>
      </c>
      <c r="F19">
        <v>1</v>
      </c>
      <c r="G19">
        <v>1</v>
      </c>
      <c r="H19">
        <v>2</v>
      </c>
      <c r="I19" t="s">
        <v>321</v>
      </c>
      <c r="J19" t="s">
        <v>322</v>
      </c>
      <c r="K19" t="s">
        <v>323</v>
      </c>
      <c r="L19">
        <v>1480</v>
      </c>
      <c r="N19">
        <v>1013</v>
      </c>
      <c r="O19" t="s">
        <v>278</v>
      </c>
      <c r="P19" t="s">
        <v>279</v>
      </c>
      <c r="Q19">
        <v>1</v>
      </c>
      <c r="Y19">
        <v>0.29</v>
      </c>
      <c r="AA19">
        <v>0</v>
      </c>
      <c r="AB19">
        <v>30.97</v>
      </c>
      <c r="AC19">
        <v>0</v>
      </c>
      <c r="AD19">
        <v>0</v>
      </c>
      <c r="AN19">
        <v>0</v>
      </c>
      <c r="AO19">
        <v>1</v>
      </c>
      <c r="AP19">
        <v>0</v>
      </c>
      <c r="AQ19">
        <v>0</v>
      </c>
      <c r="AR19">
        <v>0</v>
      </c>
      <c r="AT19">
        <v>0.29</v>
      </c>
      <c r="AV19">
        <v>0</v>
      </c>
    </row>
    <row r="20" spans="1:48" ht="12.75">
      <c r="A20">
        <f>ROW(Source!A29)</f>
        <v>29</v>
      </c>
      <c r="B20">
        <v>7700061</v>
      </c>
      <c r="C20">
        <v>7699881</v>
      </c>
      <c r="D20">
        <v>6300357</v>
      </c>
      <c r="E20">
        <v>1</v>
      </c>
      <c r="F20">
        <v>1</v>
      </c>
      <c r="G20">
        <v>1</v>
      </c>
      <c r="H20">
        <v>2</v>
      </c>
      <c r="I20" t="s">
        <v>284</v>
      </c>
      <c r="J20" t="s">
        <v>285</v>
      </c>
      <c r="K20" t="s">
        <v>286</v>
      </c>
      <c r="L20">
        <v>1480</v>
      </c>
      <c r="N20">
        <v>1013</v>
      </c>
      <c r="O20" t="s">
        <v>278</v>
      </c>
      <c r="P20" t="s">
        <v>279</v>
      </c>
      <c r="Q20">
        <v>1</v>
      </c>
      <c r="Y20">
        <v>0.29</v>
      </c>
      <c r="AA20">
        <v>0</v>
      </c>
      <c r="AB20">
        <v>3.72</v>
      </c>
      <c r="AC20">
        <v>0</v>
      </c>
      <c r="AD20">
        <v>0</v>
      </c>
      <c r="AN20">
        <v>0</v>
      </c>
      <c r="AO20">
        <v>1</v>
      </c>
      <c r="AP20">
        <v>0</v>
      </c>
      <c r="AQ20">
        <v>0</v>
      </c>
      <c r="AR20">
        <v>0</v>
      </c>
      <c r="AT20">
        <v>0.29</v>
      </c>
      <c r="AV20">
        <v>0</v>
      </c>
    </row>
    <row r="21" spans="1:48" ht="12.75">
      <c r="A21">
        <f>ROW(Source!A29)</f>
        <v>29</v>
      </c>
      <c r="B21">
        <v>7700062</v>
      </c>
      <c r="C21">
        <v>7699881</v>
      </c>
      <c r="D21">
        <v>6300385</v>
      </c>
      <c r="E21">
        <v>1</v>
      </c>
      <c r="F21">
        <v>1</v>
      </c>
      <c r="G21">
        <v>1</v>
      </c>
      <c r="H21">
        <v>2</v>
      </c>
      <c r="I21" t="s">
        <v>324</v>
      </c>
      <c r="J21" t="s">
        <v>322</v>
      </c>
      <c r="K21" t="s">
        <v>325</v>
      </c>
      <c r="L21">
        <v>1368</v>
      </c>
      <c r="N21">
        <v>1011</v>
      </c>
      <c r="O21" t="s">
        <v>283</v>
      </c>
      <c r="P21" t="s">
        <v>283</v>
      </c>
      <c r="Q21">
        <v>1</v>
      </c>
      <c r="Y21">
        <v>0.8</v>
      </c>
      <c r="AA21">
        <v>0</v>
      </c>
      <c r="AB21">
        <v>0.56</v>
      </c>
      <c r="AC21">
        <v>0</v>
      </c>
      <c r="AD21">
        <v>0</v>
      </c>
      <c r="AN21">
        <v>0</v>
      </c>
      <c r="AO21">
        <v>1</v>
      </c>
      <c r="AP21">
        <v>0</v>
      </c>
      <c r="AQ21">
        <v>0</v>
      </c>
      <c r="AR21">
        <v>0</v>
      </c>
      <c r="AT21">
        <v>0.8</v>
      </c>
      <c r="AV21">
        <v>0</v>
      </c>
    </row>
    <row r="22" spans="1:48" ht="12.75">
      <c r="A22">
        <f>ROW(Source!A29)</f>
        <v>29</v>
      </c>
      <c r="B22">
        <v>7700063</v>
      </c>
      <c r="C22">
        <v>7699881</v>
      </c>
      <c r="D22">
        <v>6300447</v>
      </c>
      <c r="E22">
        <v>1</v>
      </c>
      <c r="F22">
        <v>1</v>
      </c>
      <c r="G22">
        <v>1</v>
      </c>
      <c r="H22">
        <v>2</v>
      </c>
      <c r="I22" t="s">
        <v>326</v>
      </c>
      <c r="J22" t="s">
        <v>327</v>
      </c>
      <c r="K22" t="s">
        <v>328</v>
      </c>
      <c r="L22">
        <v>1368</v>
      </c>
      <c r="N22">
        <v>1011</v>
      </c>
      <c r="O22" t="s">
        <v>283</v>
      </c>
      <c r="P22" t="s">
        <v>283</v>
      </c>
      <c r="Q22">
        <v>1</v>
      </c>
      <c r="Y22">
        <v>0.07</v>
      </c>
      <c r="AA22">
        <v>0</v>
      </c>
      <c r="AB22">
        <v>2.17</v>
      </c>
      <c r="AC22">
        <v>0</v>
      </c>
      <c r="AD22">
        <v>0</v>
      </c>
      <c r="AN22">
        <v>0</v>
      </c>
      <c r="AO22">
        <v>1</v>
      </c>
      <c r="AP22">
        <v>0</v>
      </c>
      <c r="AQ22">
        <v>0</v>
      </c>
      <c r="AR22">
        <v>0</v>
      </c>
      <c r="AT22">
        <v>0.07</v>
      </c>
      <c r="AV22">
        <v>0</v>
      </c>
    </row>
    <row r="23" spans="1:48" ht="12.75">
      <c r="A23">
        <f>ROW(Source!A29)</f>
        <v>29</v>
      </c>
      <c r="B23">
        <v>7700064</v>
      </c>
      <c r="C23">
        <v>7699881</v>
      </c>
      <c r="D23">
        <v>6300502</v>
      </c>
      <c r="E23">
        <v>1</v>
      </c>
      <c r="F23">
        <v>1</v>
      </c>
      <c r="G23">
        <v>1</v>
      </c>
      <c r="H23">
        <v>2</v>
      </c>
      <c r="I23" t="s">
        <v>329</v>
      </c>
      <c r="J23" t="s">
        <v>330</v>
      </c>
      <c r="K23" t="s">
        <v>331</v>
      </c>
      <c r="L23">
        <v>1480</v>
      </c>
      <c r="N23">
        <v>1013</v>
      </c>
      <c r="O23" t="s">
        <v>278</v>
      </c>
      <c r="P23" t="s">
        <v>279</v>
      </c>
      <c r="Q23">
        <v>1</v>
      </c>
      <c r="Y23">
        <v>0.29</v>
      </c>
      <c r="AA23">
        <v>0</v>
      </c>
      <c r="AB23">
        <v>12.93</v>
      </c>
      <c r="AC23">
        <v>11.81</v>
      </c>
      <c r="AD23">
        <v>0</v>
      </c>
      <c r="AN23">
        <v>0</v>
      </c>
      <c r="AO23">
        <v>1</v>
      </c>
      <c r="AP23">
        <v>0</v>
      </c>
      <c r="AQ23">
        <v>0</v>
      </c>
      <c r="AR23">
        <v>0</v>
      </c>
      <c r="AT23">
        <v>0.29</v>
      </c>
      <c r="AV23">
        <v>0</v>
      </c>
    </row>
    <row r="24" spans="1:48" ht="12.75">
      <c r="A24">
        <f>ROW(Source!A29)</f>
        <v>29</v>
      </c>
      <c r="B24">
        <v>7700065</v>
      </c>
      <c r="C24">
        <v>7699881</v>
      </c>
      <c r="D24">
        <v>6300503</v>
      </c>
      <c r="E24">
        <v>1</v>
      </c>
      <c r="F24">
        <v>1</v>
      </c>
      <c r="G24">
        <v>1</v>
      </c>
      <c r="H24">
        <v>2</v>
      </c>
      <c r="I24" t="s">
        <v>332</v>
      </c>
      <c r="J24" t="s">
        <v>330</v>
      </c>
      <c r="K24" t="s">
        <v>333</v>
      </c>
      <c r="L24">
        <v>1480</v>
      </c>
      <c r="N24">
        <v>1013</v>
      </c>
      <c r="O24" t="s">
        <v>278</v>
      </c>
      <c r="P24" t="s">
        <v>279</v>
      </c>
      <c r="Q24">
        <v>1</v>
      </c>
      <c r="Y24">
        <v>0.29</v>
      </c>
      <c r="AA24">
        <v>0</v>
      </c>
      <c r="AB24">
        <v>39.7</v>
      </c>
      <c r="AC24">
        <v>11.81</v>
      </c>
      <c r="AD24">
        <v>0</v>
      </c>
      <c r="AN24">
        <v>0</v>
      </c>
      <c r="AO24">
        <v>1</v>
      </c>
      <c r="AP24">
        <v>0</v>
      </c>
      <c r="AQ24">
        <v>0</v>
      </c>
      <c r="AR24">
        <v>0</v>
      </c>
      <c r="AT24">
        <v>0.29</v>
      </c>
      <c r="AV24">
        <v>0</v>
      </c>
    </row>
    <row r="25" spans="1:48" ht="12.75">
      <c r="A25">
        <f>ROW(Source!A29)</f>
        <v>29</v>
      </c>
      <c r="B25">
        <v>7700066</v>
      </c>
      <c r="C25">
        <v>7699881</v>
      </c>
      <c r="D25">
        <v>6300745</v>
      </c>
      <c r="E25">
        <v>1</v>
      </c>
      <c r="F25">
        <v>1</v>
      </c>
      <c r="G25">
        <v>1</v>
      </c>
      <c r="H25">
        <v>2</v>
      </c>
      <c r="I25" t="s">
        <v>287</v>
      </c>
      <c r="J25" t="s">
        <v>288</v>
      </c>
      <c r="K25" t="s">
        <v>289</v>
      </c>
      <c r="L25">
        <v>1368</v>
      </c>
      <c r="N25">
        <v>1011</v>
      </c>
      <c r="O25" t="s">
        <v>283</v>
      </c>
      <c r="P25" t="s">
        <v>283</v>
      </c>
      <c r="Q25">
        <v>1</v>
      </c>
      <c r="Y25">
        <v>0.03</v>
      </c>
      <c r="AA25">
        <v>0</v>
      </c>
      <c r="AB25">
        <v>60.77</v>
      </c>
      <c r="AC25">
        <v>11.81</v>
      </c>
      <c r="AD25">
        <v>0</v>
      </c>
      <c r="AN25">
        <v>0</v>
      </c>
      <c r="AO25">
        <v>1</v>
      </c>
      <c r="AP25">
        <v>0</v>
      </c>
      <c r="AQ25">
        <v>0</v>
      </c>
      <c r="AR25">
        <v>0</v>
      </c>
      <c r="AT25">
        <v>0.03</v>
      </c>
      <c r="AV25">
        <v>0</v>
      </c>
    </row>
    <row r="26" spans="1:48" ht="12.75">
      <c r="A26">
        <f>ROW(Source!A29)</f>
        <v>29</v>
      </c>
      <c r="B26">
        <v>7700067</v>
      </c>
      <c r="C26">
        <v>7699881</v>
      </c>
      <c r="D26">
        <v>6331375</v>
      </c>
      <c r="E26">
        <v>1</v>
      </c>
      <c r="F26">
        <v>1</v>
      </c>
      <c r="G26">
        <v>1</v>
      </c>
      <c r="H26">
        <v>3</v>
      </c>
      <c r="I26" t="s">
        <v>290</v>
      </c>
      <c r="J26" t="s">
        <v>291</v>
      </c>
      <c r="K26" t="s">
        <v>292</v>
      </c>
      <c r="L26">
        <v>1348</v>
      </c>
      <c r="N26">
        <v>1009</v>
      </c>
      <c r="O26" t="s">
        <v>293</v>
      </c>
      <c r="P26" t="s">
        <v>293</v>
      </c>
      <c r="Q26">
        <v>1000</v>
      </c>
      <c r="Y26">
        <v>0.0005</v>
      </c>
      <c r="AA26">
        <v>15826.97</v>
      </c>
      <c r="AB26">
        <v>0</v>
      </c>
      <c r="AC26">
        <v>0</v>
      </c>
      <c r="AD26">
        <v>0</v>
      </c>
      <c r="AN26">
        <v>0</v>
      </c>
      <c r="AO26">
        <v>1</v>
      </c>
      <c r="AP26">
        <v>0</v>
      </c>
      <c r="AQ26">
        <v>0</v>
      </c>
      <c r="AR26">
        <v>0</v>
      </c>
      <c r="AT26">
        <v>0.0005</v>
      </c>
      <c r="AV26">
        <v>0</v>
      </c>
    </row>
    <row r="27" spans="1:48" ht="12.75">
      <c r="A27">
        <f>ROW(Source!A29)</f>
        <v>29</v>
      </c>
      <c r="B27">
        <v>7700068</v>
      </c>
      <c r="C27">
        <v>7699881</v>
      </c>
      <c r="D27">
        <v>6331829</v>
      </c>
      <c r="E27">
        <v>1</v>
      </c>
      <c r="F27">
        <v>1</v>
      </c>
      <c r="G27">
        <v>1</v>
      </c>
      <c r="H27">
        <v>3</v>
      </c>
      <c r="I27" t="s">
        <v>297</v>
      </c>
      <c r="J27" t="s">
        <v>298</v>
      </c>
      <c r="K27" t="s">
        <v>299</v>
      </c>
      <c r="L27">
        <v>1348</v>
      </c>
      <c r="N27">
        <v>1009</v>
      </c>
      <c r="O27" t="s">
        <v>293</v>
      </c>
      <c r="P27" t="s">
        <v>293</v>
      </c>
      <c r="Q27">
        <v>1000</v>
      </c>
      <c r="Y27">
        <v>6E-05</v>
      </c>
      <c r="AA27">
        <v>6656.36</v>
      </c>
      <c r="AB27">
        <v>0</v>
      </c>
      <c r="AC27">
        <v>0</v>
      </c>
      <c r="AD27">
        <v>0</v>
      </c>
      <c r="AN27">
        <v>0</v>
      </c>
      <c r="AO27">
        <v>1</v>
      </c>
      <c r="AP27">
        <v>0</v>
      </c>
      <c r="AQ27">
        <v>0</v>
      </c>
      <c r="AR27">
        <v>0</v>
      </c>
      <c r="AT27">
        <v>6E-05</v>
      </c>
      <c r="AV27">
        <v>0</v>
      </c>
    </row>
    <row r="28" spans="1:48" ht="12.75">
      <c r="A28">
        <f>ROW(Source!A29)</f>
        <v>29</v>
      </c>
      <c r="B28">
        <v>7700069</v>
      </c>
      <c r="C28">
        <v>7699881</v>
      </c>
      <c r="D28">
        <v>6332051</v>
      </c>
      <c r="E28">
        <v>1</v>
      </c>
      <c r="F28">
        <v>1</v>
      </c>
      <c r="G28">
        <v>1</v>
      </c>
      <c r="H28">
        <v>3</v>
      </c>
      <c r="I28" t="s">
        <v>300</v>
      </c>
      <c r="J28" t="s">
        <v>301</v>
      </c>
      <c r="K28" t="s">
        <v>302</v>
      </c>
      <c r="L28">
        <v>1348</v>
      </c>
      <c r="N28">
        <v>1009</v>
      </c>
      <c r="O28" t="s">
        <v>293</v>
      </c>
      <c r="P28" t="s">
        <v>293</v>
      </c>
      <c r="Q28">
        <v>1000</v>
      </c>
      <c r="Y28">
        <v>0.00121</v>
      </c>
      <c r="AA28">
        <v>9181.09</v>
      </c>
      <c r="AB28">
        <v>0</v>
      </c>
      <c r="AC28">
        <v>0</v>
      </c>
      <c r="AD28">
        <v>0</v>
      </c>
      <c r="AN28">
        <v>0</v>
      </c>
      <c r="AO28">
        <v>1</v>
      </c>
      <c r="AP28">
        <v>0</v>
      </c>
      <c r="AQ28">
        <v>0</v>
      </c>
      <c r="AR28">
        <v>0</v>
      </c>
      <c r="AT28">
        <v>0.00121</v>
      </c>
      <c r="AV28">
        <v>0</v>
      </c>
    </row>
    <row r="29" spans="1:48" ht="12.75">
      <c r="A29">
        <f>ROW(Source!A29)</f>
        <v>29</v>
      </c>
      <c r="B29">
        <v>7700070</v>
      </c>
      <c r="C29">
        <v>7699881</v>
      </c>
      <c r="D29">
        <v>6332633</v>
      </c>
      <c r="E29">
        <v>1</v>
      </c>
      <c r="F29">
        <v>1</v>
      </c>
      <c r="G29">
        <v>1</v>
      </c>
      <c r="H29">
        <v>3</v>
      </c>
      <c r="I29" t="s">
        <v>334</v>
      </c>
      <c r="J29" t="s">
        <v>335</v>
      </c>
      <c r="K29" t="s">
        <v>336</v>
      </c>
      <c r="L29">
        <v>1346</v>
      </c>
      <c r="N29">
        <v>1009</v>
      </c>
      <c r="O29" t="s">
        <v>306</v>
      </c>
      <c r="P29" t="s">
        <v>306</v>
      </c>
      <c r="Q29">
        <v>1</v>
      </c>
      <c r="Y29">
        <v>0.01</v>
      </c>
      <c r="AA29">
        <v>28.22</v>
      </c>
      <c r="AB29">
        <v>0</v>
      </c>
      <c r="AC29">
        <v>0</v>
      </c>
      <c r="AD29">
        <v>0</v>
      </c>
      <c r="AN29">
        <v>0</v>
      </c>
      <c r="AO29">
        <v>1</v>
      </c>
      <c r="AP29">
        <v>0</v>
      </c>
      <c r="AQ29">
        <v>0</v>
      </c>
      <c r="AR29">
        <v>0</v>
      </c>
      <c r="AT29">
        <v>0.01</v>
      </c>
      <c r="AV29">
        <v>0</v>
      </c>
    </row>
    <row r="30" spans="1:48" ht="12.75">
      <c r="A30">
        <f>ROW(Source!A29)</f>
        <v>29</v>
      </c>
      <c r="B30">
        <v>7700071</v>
      </c>
      <c r="C30">
        <v>7699881</v>
      </c>
      <c r="D30">
        <v>6332733</v>
      </c>
      <c r="E30">
        <v>1</v>
      </c>
      <c r="F30">
        <v>1</v>
      </c>
      <c r="G30">
        <v>1</v>
      </c>
      <c r="H30">
        <v>3</v>
      </c>
      <c r="I30" t="s">
        <v>337</v>
      </c>
      <c r="J30" t="s">
        <v>338</v>
      </c>
      <c r="K30" t="s">
        <v>339</v>
      </c>
      <c r="L30">
        <v>1358</v>
      </c>
      <c r="N30">
        <v>1010</v>
      </c>
      <c r="O30" t="s">
        <v>211</v>
      </c>
      <c r="P30" t="s">
        <v>211</v>
      </c>
      <c r="Q30">
        <v>10</v>
      </c>
      <c r="Y30">
        <v>0.4</v>
      </c>
      <c r="AA30">
        <v>29.37</v>
      </c>
      <c r="AB30">
        <v>0</v>
      </c>
      <c r="AC30">
        <v>0</v>
      </c>
      <c r="AD30">
        <v>0</v>
      </c>
      <c r="AN30">
        <v>0</v>
      </c>
      <c r="AO30">
        <v>1</v>
      </c>
      <c r="AP30">
        <v>0</v>
      </c>
      <c r="AQ30">
        <v>0</v>
      </c>
      <c r="AR30">
        <v>0</v>
      </c>
      <c r="AT30">
        <v>0.4</v>
      </c>
      <c r="AV30">
        <v>0</v>
      </c>
    </row>
    <row r="31" spans="1:48" ht="12.75">
      <c r="A31">
        <f>ROW(Source!A29)</f>
        <v>29</v>
      </c>
      <c r="B31">
        <v>7700072</v>
      </c>
      <c r="C31">
        <v>7699881</v>
      </c>
      <c r="D31">
        <v>6332736</v>
      </c>
      <c r="E31">
        <v>1</v>
      </c>
      <c r="F31">
        <v>1</v>
      </c>
      <c r="G31">
        <v>1</v>
      </c>
      <c r="H31">
        <v>3</v>
      </c>
      <c r="I31" t="s">
        <v>340</v>
      </c>
      <c r="J31" t="s">
        <v>341</v>
      </c>
      <c r="K31" t="s">
        <v>342</v>
      </c>
      <c r="L31">
        <v>1348</v>
      </c>
      <c r="N31">
        <v>1009</v>
      </c>
      <c r="O31" t="s">
        <v>293</v>
      </c>
      <c r="P31" t="s">
        <v>293</v>
      </c>
      <c r="Q31">
        <v>1000</v>
      </c>
      <c r="Y31">
        <v>0.025</v>
      </c>
      <c r="AA31">
        <v>4848.35</v>
      </c>
      <c r="AB31">
        <v>0</v>
      </c>
      <c r="AC31">
        <v>0</v>
      </c>
      <c r="AD31">
        <v>0</v>
      </c>
      <c r="AN31">
        <v>0</v>
      </c>
      <c r="AO31">
        <v>1</v>
      </c>
      <c r="AP31">
        <v>0</v>
      </c>
      <c r="AQ31">
        <v>0</v>
      </c>
      <c r="AR31">
        <v>0</v>
      </c>
      <c r="AT31">
        <v>0.025</v>
      </c>
      <c r="AV31">
        <v>0</v>
      </c>
    </row>
    <row r="32" spans="1:48" ht="12.75">
      <c r="A32">
        <f>ROW(Source!A29)</f>
        <v>29</v>
      </c>
      <c r="B32">
        <v>7700073</v>
      </c>
      <c r="C32">
        <v>7699881</v>
      </c>
      <c r="D32">
        <v>6332745</v>
      </c>
      <c r="E32">
        <v>1</v>
      </c>
      <c r="F32">
        <v>1</v>
      </c>
      <c r="G32">
        <v>1</v>
      </c>
      <c r="H32">
        <v>3</v>
      </c>
      <c r="I32" t="s">
        <v>343</v>
      </c>
      <c r="J32" t="s">
        <v>344</v>
      </c>
      <c r="K32" t="s">
        <v>345</v>
      </c>
      <c r="L32">
        <v>1301</v>
      </c>
      <c r="N32">
        <v>1003</v>
      </c>
      <c r="O32" t="s">
        <v>107</v>
      </c>
      <c r="P32" t="s">
        <v>107</v>
      </c>
      <c r="Q32">
        <v>1</v>
      </c>
      <c r="Y32">
        <v>1.7</v>
      </c>
      <c r="AA32">
        <v>15.13</v>
      </c>
      <c r="AB32">
        <v>0</v>
      </c>
      <c r="AC32">
        <v>0</v>
      </c>
      <c r="AD32">
        <v>0</v>
      </c>
      <c r="AN32">
        <v>0</v>
      </c>
      <c r="AO32">
        <v>1</v>
      </c>
      <c r="AP32">
        <v>0</v>
      </c>
      <c r="AQ32">
        <v>0</v>
      </c>
      <c r="AR32">
        <v>0</v>
      </c>
      <c r="AT32">
        <v>1.7</v>
      </c>
      <c r="AV32">
        <v>0</v>
      </c>
    </row>
    <row r="33" spans="1:48" ht="12.75">
      <c r="A33">
        <f>ROW(Source!A29)</f>
        <v>29</v>
      </c>
      <c r="B33">
        <v>7700074</v>
      </c>
      <c r="C33">
        <v>7699881</v>
      </c>
      <c r="D33">
        <v>6332747</v>
      </c>
      <c r="E33">
        <v>1</v>
      </c>
      <c r="F33">
        <v>1</v>
      </c>
      <c r="G33">
        <v>1</v>
      </c>
      <c r="H33">
        <v>3</v>
      </c>
      <c r="I33" t="s">
        <v>346</v>
      </c>
      <c r="J33" t="s">
        <v>347</v>
      </c>
      <c r="K33" t="s">
        <v>348</v>
      </c>
      <c r="L33">
        <v>1301</v>
      </c>
      <c r="N33">
        <v>1003</v>
      </c>
      <c r="O33" t="s">
        <v>107</v>
      </c>
      <c r="P33" t="s">
        <v>107</v>
      </c>
      <c r="Q33">
        <v>1</v>
      </c>
      <c r="Y33">
        <v>0.32</v>
      </c>
      <c r="AA33">
        <v>23.79</v>
      </c>
      <c r="AB33">
        <v>0</v>
      </c>
      <c r="AC33">
        <v>0</v>
      </c>
      <c r="AD33">
        <v>0</v>
      </c>
      <c r="AN33">
        <v>0</v>
      </c>
      <c r="AO33">
        <v>1</v>
      </c>
      <c r="AP33">
        <v>0</v>
      </c>
      <c r="AQ33">
        <v>0</v>
      </c>
      <c r="AR33">
        <v>0</v>
      </c>
      <c r="AT33">
        <v>0.32</v>
      </c>
      <c r="AV33">
        <v>0</v>
      </c>
    </row>
    <row r="34" spans="1:48" ht="12.75">
      <c r="A34">
        <f>ROW(Source!A29)</f>
        <v>29</v>
      </c>
      <c r="B34">
        <v>7700075</v>
      </c>
      <c r="C34">
        <v>7699881</v>
      </c>
      <c r="D34">
        <v>6337613</v>
      </c>
      <c r="E34">
        <v>1</v>
      </c>
      <c r="F34">
        <v>1</v>
      </c>
      <c r="G34">
        <v>1</v>
      </c>
      <c r="H34">
        <v>3</v>
      </c>
      <c r="I34" t="s">
        <v>310</v>
      </c>
      <c r="J34" t="s">
        <v>311</v>
      </c>
      <c r="K34" t="s">
        <v>312</v>
      </c>
      <c r="L34">
        <v>1348</v>
      </c>
      <c r="N34">
        <v>1009</v>
      </c>
      <c r="O34" t="s">
        <v>293</v>
      </c>
      <c r="P34" t="s">
        <v>293</v>
      </c>
      <c r="Q34">
        <v>1000</v>
      </c>
      <c r="Y34">
        <v>0.00086</v>
      </c>
      <c r="AA34">
        <v>19225.64</v>
      </c>
      <c r="AB34">
        <v>0</v>
      </c>
      <c r="AC34">
        <v>0</v>
      </c>
      <c r="AD34">
        <v>0</v>
      </c>
      <c r="AN34">
        <v>0</v>
      </c>
      <c r="AO34">
        <v>1</v>
      </c>
      <c r="AP34">
        <v>0</v>
      </c>
      <c r="AQ34">
        <v>0</v>
      </c>
      <c r="AR34">
        <v>0</v>
      </c>
      <c r="AT34">
        <v>0.00086</v>
      </c>
      <c r="AV34">
        <v>0</v>
      </c>
    </row>
    <row r="35" spans="1:48" ht="12.75">
      <c r="A35">
        <f>ROW(Source!A29)</f>
        <v>29</v>
      </c>
      <c r="B35">
        <v>7700076</v>
      </c>
      <c r="C35">
        <v>7699881</v>
      </c>
      <c r="D35">
        <v>6337819</v>
      </c>
      <c r="E35">
        <v>1</v>
      </c>
      <c r="F35">
        <v>1</v>
      </c>
      <c r="G35">
        <v>1</v>
      </c>
      <c r="H35">
        <v>3</v>
      </c>
      <c r="I35" t="s">
        <v>313</v>
      </c>
      <c r="J35" t="s">
        <v>314</v>
      </c>
      <c r="K35" t="s">
        <v>315</v>
      </c>
      <c r="L35">
        <v>1348</v>
      </c>
      <c r="N35">
        <v>1009</v>
      </c>
      <c r="O35" t="s">
        <v>293</v>
      </c>
      <c r="P35" t="s">
        <v>293</v>
      </c>
      <c r="Q35">
        <v>1000</v>
      </c>
      <c r="Y35">
        <v>0.00111</v>
      </c>
      <c r="AA35">
        <v>32532.59</v>
      </c>
      <c r="AB35">
        <v>0</v>
      </c>
      <c r="AC35">
        <v>0</v>
      </c>
      <c r="AD35">
        <v>0</v>
      </c>
      <c r="AN35">
        <v>0</v>
      </c>
      <c r="AO35">
        <v>1</v>
      </c>
      <c r="AP35">
        <v>0</v>
      </c>
      <c r="AQ35">
        <v>0</v>
      </c>
      <c r="AR35">
        <v>0</v>
      </c>
      <c r="AT35">
        <v>0.00111</v>
      </c>
      <c r="AV35">
        <v>0</v>
      </c>
    </row>
    <row r="36" spans="1:48" ht="12.75">
      <c r="A36">
        <f>ROW(Source!A30)</f>
        <v>30</v>
      </c>
      <c r="B36">
        <v>7700078</v>
      </c>
      <c r="C36">
        <v>7700077</v>
      </c>
      <c r="D36">
        <v>5612288</v>
      </c>
      <c r="E36">
        <v>1</v>
      </c>
      <c r="F36">
        <v>1</v>
      </c>
      <c r="G36">
        <v>1</v>
      </c>
      <c r="H36">
        <v>1</v>
      </c>
      <c r="I36" t="s">
        <v>319</v>
      </c>
      <c r="K36" t="s">
        <v>320</v>
      </c>
      <c r="L36">
        <v>1476</v>
      </c>
      <c r="N36">
        <v>1013</v>
      </c>
      <c r="O36" t="s">
        <v>271</v>
      </c>
      <c r="P36" t="s">
        <v>272</v>
      </c>
      <c r="Q36">
        <v>1</v>
      </c>
      <c r="Y36">
        <v>1.12</v>
      </c>
      <c r="AA36">
        <v>0</v>
      </c>
      <c r="AB36">
        <v>0</v>
      </c>
      <c r="AC36">
        <v>0</v>
      </c>
      <c r="AD36">
        <v>9.91</v>
      </c>
      <c r="AN36">
        <v>0</v>
      </c>
      <c r="AO36">
        <v>1</v>
      </c>
      <c r="AP36">
        <v>0</v>
      </c>
      <c r="AQ36">
        <v>0</v>
      </c>
      <c r="AR36">
        <v>0</v>
      </c>
      <c r="AT36">
        <v>1.12</v>
      </c>
      <c r="AV36">
        <v>1</v>
      </c>
    </row>
    <row r="37" spans="1:48" ht="12.75">
      <c r="A37">
        <f>ROW(Source!A30)</f>
        <v>30</v>
      </c>
      <c r="B37">
        <v>7700079</v>
      </c>
      <c r="C37">
        <v>7700077</v>
      </c>
      <c r="D37">
        <v>121548</v>
      </c>
      <c r="E37">
        <v>1</v>
      </c>
      <c r="F37">
        <v>1</v>
      </c>
      <c r="G37">
        <v>1</v>
      </c>
      <c r="H37">
        <v>1</v>
      </c>
      <c r="I37" t="s">
        <v>24</v>
      </c>
      <c r="K37" t="s">
        <v>273</v>
      </c>
      <c r="L37">
        <v>608254</v>
      </c>
      <c r="N37">
        <v>1013</v>
      </c>
      <c r="O37" t="s">
        <v>274</v>
      </c>
      <c r="P37" t="s">
        <v>274</v>
      </c>
      <c r="Q37">
        <v>1</v>
      </c>
      <c r="Y37">
        <v>0.01</v>
      </c>
      <c r="AA37">
        <v>0</v>
      </c>
      <c r="AB37">
        <v>0</v>
      </c>
      <c r="AC37">
        <v>0</v>
      </c>
      <c r="AD37">
        <v>0</v>
      </c>
      <c r="AN37">
        <v>0</v>
      </c>
      <c r="AO37">
        <v>1</v>
      </c>
      <c r="AP37">
        <v>0</v>
      </c>
      <c r="AQ37">
        <v>0</v>
      </c>
      <c r="AR37">
        <v>0</v>
      </c>
      <c r="AT37">
        <v>0.01</v>
      </c>
      <c r="AV37">
        <v>2</v>
      </c>
    </row>
    <row r="38" spans="1:48" ht="12.75">
      <c r="A38">
        <f>ROW(Source!A30)</f>
        <v>30</v>
      </c>
      <c r="B38">
        <v>7700080</v>
      </c>
      <c r="C38">
        <v>7700077</v>
      </c>
      <c r="D38">
        <v>6298559</v>
      </c>
      <c r="E38">
        <v>1</v>
      </c>
      <c r="F38">
        <v>1</v>
      </c>
      <c r="G38">
        <v>1</v>
      </c>
      <c r="H38">
        <v>2</v>
      </c>
      <c r="I38" t="s">
        <v>280</v>
      </c>
      <c r="J38" t="s">
        <v>281</v>
      </c>
      <c r="K38" t="s">
        <v>282</v>
      </c>
      <c r="L38">
        <v>1368</v>
      </c>
      <c r="N38">
        <v>1011</v>
      </c>
      <c r="O38" t="s">
        <v>283</v>
      </c>
      <c r="P38" t="s">
        <v>283</v>
      </c>
      <c r="Q38">
        <v>1</v>
      </c>
      <c r="Y38">
        <v>0.32</v>
      </c>
      <c r="AA38">
        <v>0</v>
      </c>
      <c r="AB38">
        <v>2.94</v>
      </c>
      <c r="AC38">
        <v>0</v>
      </c>
      <c r="AD38">
        <v>0</v>
      </c>
      <c r="AN38">
        <v>0</v>
      </c>
      <c r="AO38">
        <v>1</v>
      </c>
      <c r="AP38">
        <v>0</v>
      </c>
      <c r="AQ38">
        <v>0</v>
      </c>
      <c r="AR38">
        <v>0</v>
      </c>
      <c r="AT38">
        <v>0.32</v>
      </c>
      <c r="AV38">
        <v>0</v>
      </c>
    </row>
    <row r="39" spans="1:48" ht="12.75">
      <c r="A39">
        <f>ROW(Source!A30)</f>
        <v>30</v>
      </c>
      <c r="B39">
        <v>7700081</v>
      </c>
      <c r="C39">
        <v>7700077</v>
      </c>
      <c r="D39">
        <v>6300353</v>
      </c>
      <c r="E39">
        <v>1</v>
      </c>
      <c r="F39">
        <v>1</v>
      </c>
      <c r="G39">
        <v>1</v>
      </c>
      <c r="H39">
        <v>2</v>
      </c>
      <c r="I39" t="s">
        <v>321</v>
      </c>
      <c r="J39" t="s">
        <v>322</v>
      </c>
      <c r="K39" t="s">
        <v>323</v>
      </c>
      <c r="L39">
        <v>1480</v>
      </c>
      <c r="N39">
        <v>1013</v>
      </c>
      <c r="O39" t="s">
        <v>278</v>
      </c>
      <c r="P39" t="s">
        <v>279</v>
      </c>
      <c r="Q39">
        <v>1</v>
      </c>
      <c r="Y39">
        <v>0.08</v>
      </c>
      <c r="AA39">
        <v>0</v>
      </c>
      <c r="AB39">
        <v>30.97</v>
      </c>
      <c r="AC39">
        <v>0</v>
      </c>
      <c r="AD39">
        <v>0</v>
      </c>
      <c r="AN39">
        <v>0</v>
      </c>
      <c r="AO39">
        <v>1</v>
      </c>
      <c r="AP39">
        <v>0</v>
      </c>
      <c r="AQ39">
        <v>0</v>
      </c>
      <c r="AR39">
        <v>0</v>
      </c>
      <c r="AT39">
        <v>0.08</v>
      </c>
      <c r="AV39">
        <v>0</v>
      </c>
    </row>
    <row r="40" spans="1:48" ht="12.75">
      <c r="A40">
        <f>ROW(Source!A30)</f>
        <v>30</v>
      </c>
      <c r="B40">
        <v>7700082</v>
      </c>
      <c r="C40">
        <v>7700077</v>
      </c>
      <c r="D40">
        <v>6300357</v>
      </c>
      <c r="E40">
        <v>1</v>
      </c>
      <c r="F40">
        <v>1</v>
      </c>
      <c r="G40">
        <v>1</v>
      </c>
      <c r="H40">
        <v>2</v>
      </c>
      <c r="I40" t="s">
        <v>284</v>
      </c>
      <c r="J40" t="s">
        <v>285</v>
      </c>
      <c r="K40" t="s">
        <v>286</v>
      </c>
      <c r="L40">
        <v>1480</v>
      </c>
      <c r="N40">
        <v>1013</v>
      </c>
      <c r="O40" t="s">
        <v>278</v>
      </c>
      <c r="P40" t="s">
        <v>279</v>
      </c>
      <c r="Q40">
        <v>1</v>
      </c>
      <c r="Y40">
        <v>0.08</v>
      </c>
      <c r="AA40">
        <v>0</v>
      </c>
      <c r="AB40">
        <v>3.72</v>
      </c>
      <c r="AC40">
        <v>0</v>
      </c>
      <c r="AD40">
        <v>0</v>
      </c>
      <c r="AN40">
        <v>0</v>
      </c>
      <c r="AO40">
        <v>1</v>
      </c>
      <c r="AP40">
        <v>0</v>
      </c>
      <c r="AQ40">
        <v>0</v>
      </c>
      <c r="AR40">
        <v>0</v>
      </c>
      <c r="AT40">
        <v>0.08</v>
      </c>
      <c r="AV40">
        <v>0</v>
      </c>
    </row>
    <row r="41" spans="1:48" ht="12.75">
      <c r="A41">
        <f>ROW(Source!A30)</f>
        <v>30</v>
      </c>
      <c r="B41">
        <v>7700083</v>
      </c>
      <c r="C41">
        <v>7700077</v>
      </c>
      <c r="D41">
        <v>6300447</v>
      </c>
      <c r="E41">
        <v>1</v>
      </c>
      <c r="F41">
        <v>1</v>
      </c>
      <c r="G41">
        <v>1</v>
      </c>
      <c r="H41">
        <v>2</v>
      </c>
      <c r="I41" t="s">
        <v>326</v>
      </c>
      <c r="J41" t="s">
        <v>327</v>
      </c>
      <c r="K41" t="s">
        <v>328</v>
      </c>
      <c r="L41">
        <v>1368</v>
      </c>
      <c r="N41">
        <v>1011</v>
      </c>
      <c r="O41" t="s">
        <v>283</v>
      </c>
      <c r="P41" t="s">
        <v>283</v>
      </c>
      <c r="Q41">
        <v>1</v>
      </c>
      <c r="Y41">
        <v>0.1</v>
      </c>
      <c r="AA41">
        <v>0</v>
      </c>
      <c r="AB41">
        <v>2.17</v>
      </c>
      <c r="AC41">
        <v>0</v>
      </c>
      <c r="AD41">
        <v>0</v>
      </c>
      <c r="AN41">
        <v>0</v>
      </c>
      <c r="AO41">
        <v>1</v>
      </c>
      <c r="AP41">
        <v>0</v>
      </c>
      <c r="AQ41">
        <v>0</v>
      </c>
      <c r="AR41">
        <v>0</v>
      </c>
      <c r="AT41">
        <v>0.1</v>
      </c>
      <c r="AV41">
        <v>0</v>
      </c>
    </row>
    <row r="42" spans="1:48" ht="12.75">
      <c r="A42">
        <f>ROW(Source!A30)</f>
        <v>30</v>
      </c>
      <c r="B42">
        <v>7700084</v>
      </c>
      <c r="C42">
        <v>7700077</v>
      </c>
      <c r="D42">
        <v>6300502</v>
      </c>
      <c r="E42">
        <v>1</v>
      </c>
      <c r="F42">
        <v>1</v>
      </c>
      <c r="G42">
        <v>1</v>
      </c>
      <c r="H42">
        <v>2</v>
      </c>
      <c r="I42" t="s">
        <v>329</v>
      </c>
      <c r="J42" t="s">
        <v>330</v>
      </c>
      <c r="K42" t="s">
        <v>331</v>
      </c>
      <c r="L42">
        <v>1480</v>
      </c>
      <c r="N42">
        <v>1013</v>
      </c>
      <c r="O42" t="s">
        <v>278</v>
      </c>
      <c r="P42" t="s">
        <v>279</v>
      </c>
      <c r="Q42">
        <v>1</v>
      </c>
      <c r="Y42">
        <v>0.08</v>
      </c>
      <c r="AA42">
        <v>0</v>
      </c>
      <c r="AB42">
        <v>12.93</v>
      </c>
      <c r="AC42">
        <v>11.81</v>
      </c>
      <c r="AD42">
        <v>0</v>
      </c>
      <c r="AN42">
        <v>0</v>
      </c>
      <c r="AO42">
        <v>1</v>
      </c>
      <c r="AP42">
        <v>0</v>
      </c>
      <c r="AQ42">
        <v>0</v>
      </c>
      <c r="AR42">
        <v>0</v>
      </c>
      <c r="AT42">
        <v>0.08</v>
      </c>
      <c r="AV42">
        <v>0</v>
      </c>
    </row>
    <row r="43" spans="1:48" ht="12.75">
      <c r="A43">
        <f>ROW(Source!A30)</f>
        <v>30</v>
      </c>
      <c r="B43">
        <v>7700085</v>
      </c>
      <c r="C43">
        <v>7700077</v>
      </c>
      <c r="D43">
        <v>6300503</v>
      </c>
      <c r="E43">
        <v>1</v>
      </c>
      <c r="F43">
        <v>1</v>
      </c>
      <c r="G43">
        <v>1</v>
      </c>
      <c r="H43">
        <v>2</v>
      </c>
      <c r="I43" t="s">
        <v>332</v>
      </c>
      <c r="J43" t="s">
        <v>330</v>
      </c>
      <c r="K43" t="s">
        <v>333</v>
      </c>
      <c r="L43">
        <v>1480</v>
      </c>
      <c r="N43">
        <v>1013</v>
      </c>
      <c r="O43" t="s">
        <v>278</v>
      </c>
      <c r="P43" t="s">
        <v>279</v>
      </c>
      <c r="Q43">
        <v>1</v>
      </c>
      <c r="Y43">
        <v>0.08</v>
      </c>
      <c r="AA43">
        <v>0</v>
      </c>
      <c r="AB43">
        <v>39.7</v>
      </c>
      <c r="AC43">
        <v>11.81</v>
      </c>
      <c r="AD43">
        <v>0</v>
      </c>
      <c r="AN43">
        <v>0</v>
      </c>
      <c r="AO43">
        <v>1</v>
      </c>
      <c r="AP43">
        <v>0</v>
      </c>
      <c r="AQ43">
        <v>0</v>
      </c>
      <c r="AR43">
        <v>0</v>
      </c>
      <c r="AT43">
        <v>0.08</v>
      </c>
      <c r="AV43">
        <v>0</v>
      </c>
    </row>
    <row r="44" spans="1:48" ht="12.75">
      <c r="A44">
        <f>ROW(Source!A30)</f>
        <v>30</v>
      </c>
      <c r="B44">
        <v>7700086</v>
      </c>
      <c r="C44">
        <v>7700077</v>
      </c>
      <c r="D44">
        <v>6300745</v>
      </c>
      <c r="E44">
        <v>1</v>
      </c>
      <c r="F44">
        <v>1</v>
      </c>
      <c r="G44">
        <v>1</v>
      </c>
      <c r="H44">
        <v>2</v>
      </c>
      <c r="I44" t="s">
        <v>287</v>
      </c>
      <c r="J44" t="s">
        <v>288</v>
      </c>
      <c r="K44" t="s">
        <v>289</v>
      </c>
      <c r="L44">
        <v>1368</v>
      </c>
      <c r="N44">
        <v>1011</v>
      </c>
      <c r="O44" t="s">
        <v>283</v>
      </c>
      <c r="P44" t="s">
        <v>283</v>
      </c>
      <c r="Q44">
        <v>1</v>
      </c>
      <c r="Y44">
        <v>0.01</v>
      </c>
      <c r="AA44">
        <v>0</v>
      </c>
      <c r="AB44">
        <v>60.77</v>
      </c>
      <c r="AC44">
        <v>11.81</v>
      </c>
      <c r="AD44">
        <v>0</v>
      </c>
      <c r="AN44">
        <v>0</v>
      </c>
      <c r="AO44">
        <v>1</v>
      </c>
      <c r="AP44">
        <v>0</v>
      </c>
      <c r="AQ44">
        <v>0</v>
      </c>
      <c r="AR44">
        <v>0</v>
      </c>
      <c r="AT44">
        <v>0.01</v>
      </c>
      <c r="AV44">
        <v>0</v>
      </c>
    </row>
    <row r="45" spans="1:48" ht="12.75">
      <c r="A45">
        <f>ROW(Source!A30)</f>
        <v>30</v>
      </c>
      <c r="B45">
        <v>7700102</v>
      </c>
      <c r="C45">
        <v>7700077</v>
      </c>
      <c r="D45">
        <v>0</v>
      </c>
      <c r="E45">
        <v>0</v>
      </c>
      <c r="F45">
        <v>1</v>
      </c>
      <c r="G45">
        <v>1</v>
      </c>
      <c r="H45">
        <v>3</v>
      </c>
      <c r="K45" t="s">
        <v>42</v>
      </c>
      <c r="L45">
        <v>1371</v>
      </c>
      <c r="N45">
        <v>1013</v>
      </c>
      <c r="O45" t="s">
        <v>43</v>
      </c>
      <c r="P45" t="s">
        <v>43</v>
      </c>
      <c r="Q45">
        <v>1</v>
      </c>
      <c r="Y45">
        <v>1</v>
      </c>
      <c r="AA45">
        <v>29.26</v>
      </c>
      <c r="AB45">
        <v>0</v>
      </c>
      <c r="AC45">
        <v>0</v>
      </c>
      <c r="AD45">
        <v>0</v>
      </c>
      <c r="AN45">
        <v>0</v>
      </c>
      <c r="AO45">
        <v>0</v>
      </c>
      <c r="AP45">
        <v>2</v>
      </c>
      <c r="AQ45">
        <v>0</v>
      </c>
      <c r="AR45">
        <v>0</v>
      </c>
      <c r="AT45">
        <v>1</v>
      </c>
      <c r="AV45">
        <v>0</v>
      </c>
    </row>
    <row r="46" spans="1:48" ht="12.75">
      <c r="A46">
        <f>ROW(Source!A30)</f>
        <v>30</v>
      </c>
      <c r="B46">
        <v>7700108</v>
      </c>
      <c r="C46">
        <v>7700077</v>
      </c>
      <c r="D46">
        <v>0</v>
      </c>
      <c r="E46">
        <v>0</v>
      </c>
      <c r="F46">
        <v>1</v>
      </c>
      <c r="G46">
        <v>1</v>
      </c>
      <c r="H46">
        <v>3</v>
      </c>
      <c r="K46" t="s">
        <v>47</v>
      </c>
      <c r="L46">
        <v>1371</v>
      </c>
      <c r="N46">
        <v>1013</v>
      </c>
      <c r="O46" t="s">
        <v>43</v>
      </c>
      <c r="P46" t="s">
        <v>43</v>
      </c>
      <c r="Q46">
        <v>1</v>
      </c>
      <c r="Y46">
        <v>1</v>
      </c>
      <c r="AA46">
        <v>3.99</v>
      </c>
      <c r="AB46">
        <v>0</v>
      </c>
      <c r="AC46">
        <v>0</v>
      </c>
      <c r="AD46">
        <v>0</v>
      </c>
      <c r="AN46">
        <v>0</v>
      </c>
      <c r="AO46">
        <v>0</v>
      </c>
      <c r="AP46">
        <v>2</v>
      </c>
      <c r="AQ46">
        <v>0</v>
      </c>
      <c r="AR46">
        <v>0</v>
      </c>
      <c r="AT46">
        <v>1</v>
      </c>
      <c r="AV46">
        <v>0</v>
      </c>
    </row>
    <row r="47" spans="1:48" ht="12.75">
      <c r="A47">
        <f>ROW(Source!A30)</f>
        <v>30</v>
      </c>
      <c r="B47">
        <v>7700105</v>
      </c>
      <c r="C47">
        <v>7700077</v>
      </c>
      <c r="D47">
        <v>0</v>
      </c>
      <c r="E47">
        <v>0</v>
      </c>
      <c r="F47">
        <v>1</v>
      </c>
      <c r="G47">
        <v>1</v>
      </c>
      <c r="H47">
        <v>3</v>
      </c>
      <c r="K47" t="s">
        <v>45</v>
      </c>
      <c r="L47">
        <v>1378</v>
      </c>
      <c r="N47">
        <v>1013</v>
      </c>
      <c r="O47" t="s">
        <v>36</v>
      </c>
      <c r="P47" t="s">
        <v>36</v>
      </c>
      <c r="Q47">
        <v>1</v>
      </c>
      <c r="Y47">
        <v>0.002</v>
      </c>
      <c r="AA47">
        <v>665</v>
      </c>
      <c r="AB47">
        <v>0</v>
      </c>
      <c r="AC47">
        <v>0</v>
      </c>
      <c r="AD47">
        <v>0</v>
      </c>
      <c r="AN47">
        <v>0</v>
      </c>
      <c r="AO47">
        <v>0</v>
      </c>
      <c r="AP47">
        <v>2</v>
      </c>
      <c r="AQ47">
        <v>0</v>
      </c>
      <c r="AR47">
        <v>0</v>
      </c>
      <c r="AT47">
        <v>0.002</v>
      </c>
      <c r="AV47">
        <v>0</v>
      </c>
    </row>
    <row r="48" spans="1:48" ht="12.75">
      <c r="A48">
        <f>ROW(Source!A30)</f>
        <v>30</v>
      </c>
      <c r="B48">
        <v>7700087</v>
      </c>
      <c r="C48">
        <v>7700077</v>
      </c>
      <c r="D48">
        <v>6331375</v>
      </c>
      <c r="E48">
        <v>1</v>
      </c>
      <c r="F48">
        <v>1</v>
      </c>
      <c r="G48">
        <v>1</v>
      </c>
      <c r="H48">
        <v>3</v>
      </c>
      <c r="I48" t="s">
        <v>290</v>
      </c>
      <c r="J48" t="s">
        <v>291</v>
      </c>
      <c r="K48" t="s">
        <v>292</v>
      </c>
      <c r="L48">
        <v>1348</v>
      </c>
      <c r="N48">
        <v>1009</v>
      </c>
      <c r="O48" t="s">
        <v>293</v>
      </c>
      <c r="P48" t="s">
        <v>293</v>
      </c>
      <c r="Q48">
        <v>1000</v>
      </c>
      <c r="Y48">
        <v>0.00011</v>
      </c>
      <c r="AA48">
        <v>15826.97</v>
      </c>
      <c r="AB48">
        <v>0</v>
      </c>
      <c r="AC48">
        <v>0</v>
      </c>
      <c r="AD48">
        <v>0</v>
      </c>
      <c r="AN48">
        <v>0</v>
      </c>
      <c r="AO48">
        <v>1</v>
      </c>
      <c r="AP48">
        <v>0</v>
      </c>
      <c r="AQ48">
        <v>0</v>
      </c>
      <c r="AR48">
        <v>0</v>
      </c>
      <c r="AT48">
        <v>0.00011</v>
      </c>
      <c r="AV48">
        <v>0</v>
      </c>
    </row>
    <row r="49" spans="1:48" ht="12.75">
      <c r="A49">
        <f>ROW(Source!A30)</f>
        <v>30</v>
      </c>
      <c r="B49">
        <v>7700088</v>
      </c>
      <c r="C49">
        <v>7700077</v>
      </c>
      <c r="D49">
        <v>6331829</v>
      </c>
      <c r="E49">
        <v>1</v>
      </c>
      <c r="F49">
        <v>1</v>
      </c>
      <c r="G49">
        <v>1</v>
      </c>
      <c r="H49">
        <v>3</v>
      </c>
      <c r="I49" t="s">
        <v>297</v>
      </c>
      <c r="J49" t="s">
        <v>298</v>
      </c>
      <c r="K49" t="s">
        <v>299</v>
      </c>
      <c r="L49">
        <v>1348</v>
      </c>
      <c r="N49">
        <v>1009</v>
      </c>
      <c r="O49" t="s">
        <v>293</v>
      </c>
      <c r="P49" t="s">
        <v>293</v>
      </c>
      <c r="Q49">
        <v>1000</v>
      </c>
      <c r="Y49">
        <v>1E-05</v>
      </c>
      <c r="AA49">
        <v>6656.36</v>
      </c>
      <c r="AB49">
        <v>0</v>
      </c>
      <c r="AC49">
        <v>0</v>
      </c>
      <c r="AD49">
        <v>0</v>
      </c>
      <c r="AN49">
        <v>0</v>
      </c>
      <c r="AO49">
        <v>1</v>
      </c>
      <c r="AP49">
        <v>0</v>
      </c>
      <c r="AQ49">
        <v>0</v>
      </c>
      <c r="AR49">
        <v>0</v>
      </c>
      <c r="AT49">
        <v>1E-05</v>
      </c>
      <c r="AV49">
        <v>0</v>
      </c>
    </row>
    <row r="50" spans="1:48" ht="12.75">
      <c r="A50">
        <f>ROW(Source!A30)</f>
        <v>30</v>
      </c>
      <c r="B50">
        <v>7700089</v>
      </c>
      <c r="C50">
        <v>7700077</v>
      </c>
      <c r="D50">
        <v>6332051</v>
      </c>
      <c r="E50">
        <v>1</v>
      </c>
      <c r="F50">
        <v>1</v>
      </c>
      <c r="G50">
        <v>1</v>
      </c>
      <c r="H50">
        <v>3</v>
      </c>
      <c r="I50" t="s">
        <v>300</v>
      </c>
      <c r="J50" t="s">
        <v>301</v>
      </c>
      <c r="K50" t="s">
        <v>302</v>
      </c>
      <c r="L50">
        <v>1348</v>
      </c>
      <c r="N50">
        <v>1009</v>
      </c>
      <c r="O50" t="s">
        <v>293</v>
      </c>
      <c r="P50" t="s">
        <v>293</v>
      </c>
      <c r="Q50">
        <v>1000</v>
      </c>
      <c r="Y50">
        <v>0.00078</v>
      </c>
      <c r="AA50">
        <v>9181.09</v>
      </c>
      <c r="AB50">
        <v>0</v>
      </c>
      <c r="AC50">
        <v>0</v>
      </c>
      <c r="AD50">
        <v>0</v>
      </c>
      <c r="AN50">
        <v>0</v>
      </c>
      <c r="AO50">
        <v>1</v>
      </c>
      <c r="AP50">
        <v>0</v>
      </c>
      <c r="AQ50">
        <v>0</v>
      </c>
      <c r="AR50">
        <v>0</v>
      </c>
      <c r="AT50">
        <v>0.00078</v>
      </c>
      <c r="AV50">
        <v>0</v>
      </c>
    </row>
    <row r="51" spans="1:48" ht="12.75">
      <c r="A51">
        <f>ROW(Source!A30)</f>
        <v>30</v>
      </c>
      <c r="B51">
        <v>7700090</v>
      </c>
      <c r="C51">
        <v>7700077</v>
      </c>
      <c r="D51">
        <v>6332633</v>
      </c>
      <c r="E51">
        <v>1</v>
      </c>
      <c r="F51">
        <v>1</v>
      </c>
      <c r="G51">
        <v>1</v>
      </c>
      <c r="H51">
        <v>3</v>
      </c>
      <c r="I51" t="s">
        <v>334</v>
      </c>
      <c r="J51" t="s">
        <v>335</v>
      </c>
      <c r="K51" t="s">
        <v>336</v>
      </c>
      <c r="L51">
        <v>1346</v>
      </c>
      <c r="N51">
        <v>1009</v>
      </c>
      <c r="O51" t="s">
        <v>306</v>
      </c>
      <c r="P51" t="s">
        <v>306</v>
      </c>
      <c r="Q51">
        <v>1</v>
      </c>
      <c r="Y51">
        <v>0.01</v>
      </c>
      <c r="AA51">
        <v>28.22</v>
      </c>
      <c r="AB51">
        <v>0</v>
      </c>
      <c r="AC51">
        <v>0</v>
      </c>
      <c r="AD51">
        <v>0</v>
      </c>
      <c r="AN51">
        <v>0</v>
      </c>
      <c r="AO51">
        <v>1</v>
      </c>
      <c r="AP51">
        <v>0</v>
      </c>
      <c r="AQ51">
        <v>0</v>
      </c>
      <c r="AR51">
        <v>0</v>
      </c>
      <c r="AT51">
        <v>0.01</v>
      </c>
      <c r="AV51">
        <v>0</v>
      </c>
    </row>
    <row r="52" spans="1:48" ht="12.75">
      <c r="A52">
        <f>ROW(Source!A30)</f>
        <v>30</v>
      </c>
      <c r="B52">
        <v>7700091</v>
      </c>
      <c r="C52">
        <v>7700077</v>
      </c>
      <c r="D52">
        <v>6332737</v>
      </c>
      <c r="E52">
        <v>1</v>
      </c>
      <c r="F52">
        <v>1</v>
      </c>
      <c r="G52">
        <v>1</v>
      </c>
      <c r="H52">
        <v>3</v>
      </c>
      <c r="I52" t="s">
        <v>349</v>
      </c>
      <c r="J52" t="s">
        <v>350</v>
      </c>
      <c r="K52" t="s">
        <v>351</v>
      </c>
      <c r="L52">
        <v>1348</v>
      </c>
      <c r="N52">
        <v>1009</v>
      </c>
      <c r="O52" t="s">
        <v>293</v>
      </c>
      <c r="P52" t="s">
        <v>293</v>
      </c>
      <c r="Q52">
        <v>1000</v>
      </c>
      <c r="Y52">
        <v>0.007</v>
      </c>
      <c r="AA52">
        <v>4848.35</v>
      </c>
      <c r="AB52">
        <v>0</v>
      </c>
      <c r="AC52">
        <v>0</v>
      </c>
      <c r="AD52">
        <v>0</v>
      </c>
      <c r="AN52">
        <v>0</v>
      </c>
      <c r="AO52">
        <v>1</v>
      </c>
      <c r="AP52">
        <v>0</v>
      </c>
      <c r="AQ52">
        <v>0</v>
      </c>
      <c r="AR52">
        <v>0</v>
      </c>
      <c r="AT52">
        <v>0.007</v>
      </c>
      <c r="AV52">
        <v>0</v>
      </c>
    </row>
    <row r="53" spans="1:48" ht="12.75">
      <c r="A53">
        <f>ROW(Source!A30)</f>
        <v>30</v>
      </c>
      <c r="B53">
        <v>7700092</v>
      </c>
      <c r="C53">
        <v>7700077</v>
      </c>
      <c r="D53">
        <v>6332745</v>
      </c>
      <c r="E53">
        <v>1</v>
      </c>
      <c r="F53">
        <v>1</v>
      </c>
      <c r="G53">
        <v>1</v>
      </c>
      <c r="H53">
        <v>3</v>
      </c>
      <c r="I53" t="s">
        <v>343</v>
      </c>
      <c r="J53" t="s">
        <v>344</v>
      </c>
      <c r="K53" t="s">
        <v>345</v>
      </c>
      <c r="L53">
        <v>1301</v>
      </c>
      <c r="N53">
        <v>1003</v>
      </c>
      <c r="O53" t="s">
        <v>107</v>
      </c>
      <c r="P53" t="s">
        <v>107</v>
      </c>
      <c r="Q53">
        <v>1</v>
      </c>
      <c r="Y53">
        <v>0.53</v>
      </c>
      <c r="AA53">
        <v>15.13</v>
      </c>
      <c r="AB53">
        <v>0</v>
      </c>
      <c r="AC53">
        <v>0</v>
      </c>
      <c r="AD53">
        <v>0</v>
      </c>
      <c r="AN53">
        <v>0</v>
      </c>
      <c r="AO53">
        <v>1</v>
      </c>
      <c r="AP53">
        <v>0</v>
      </c>
      <c r="AQ53">
        <v>0</v>
      </c>
      <c r="AR53">
        <v>0</v>
      </c>
      <c r="AT53">
        <v>0.53</v>
      </c>
      <c r="AV53">
        <v>0</v>
      </c>
    </row>
    <row r="54" spans="1:48" ht="12.75">
      <c r="A54">
        <f>ROW(Source!A30)</f>
        <v>30</v>
      </c>
      <c r="B54">
        <v>7700093</v>
      </c>
      <c r="C54">
        <v>7700077</v>
      </c>
      <c r="D54">
        <v>6332747</v>
      </c>
      <c r="E54">
        <v>1</v>
      </c>
      <c r="F54">
        <v>1</v>
      </c>
      <c r="G54">
        <v>1</v>
      </c>
      <c r="H54">
        <v>3</v>
      </c>
      <c r="I54" t="s">
        <v>346</v>
      </c>
      <c r="J54" t="s">
        <v>347</v>
      </c>
      <c r="K54" t="s">
        <v>348</v>
      </c>
      <c r="L54">
        <v>1301</v>
      </c>
      <c r="N54">
        <v>1003</v>
      </c>
      <c r="O54" t="s">
        <v>107</v>
      </c>
      <c r="P54" t="s">
        <v>107</v>
      </c>
      <c r="Q54">
        <v>1</v>
      </c>
      <c r="Y54">
        <v>0.11</v>
      </c>
      <c r="AA54">
        <v>23.79</v>
      </c>
      <c r="AB54">
        <v>0</v>
      </c>
      <c r="AC54">
        <v>0</v>
      </c>
      <c r="AD54">
        <v>0</v>
      </c>
      <c r="AN54">
        <v>0</v>
      </c>
      <c r="AO54">
        <v>1</v>
      </c>
      <c r="AP54">
        <v>0</v>
      </c>
      <c r="AQ54">
        <v>0</v>
      </c>
      <c r="AR54">
        <v>0</v>
      </c>
      <c r="AT54">
        <v>0.11</v>
      </c>
      <c r="AV54">
        <v>0</v>
      </c>
    </row>
    <row r="55" spans="1:48" ht="12.75">
      <c r="A55">
        <f>ROW(Source!A30)</f>
        <v>30</v>
      </c>
      <c r="B55">
        <v>7700094</v>
      </c>
      <c r="C55">
        <v>7700077</v>
      </c>
      <c r="D55">
        <v>6337613</v>
      </c>
      <c r="E55">
        <v>1</v>
      </c>
      <c r="F55">
        <v>1</v>
      </c>
      <c r="G55">
        <v>1</v>
      </c>
      <c r="H55">
        <v>3</v>
      </c>
      <c r="I55" t="s">
        <v>310</v>
      </c>
      <c r="J55" t="s">
        <v>311</v>
      </c>
      <c r="K55" t="s">
        <v>312</v>
      </c>
      <c r="L55">
        <v>1348</v>
      </c>
      <c r="N55">
        <v>1009</v>
      </c>
      <c r="O55" t="s">
        <v>293</v>
      </c>
      <c r="P55" t="s">
        <v>293</v>
      </c>
      <c r="Q55">
        <v>1000</v>
      </c>
      <c r="Y55">
        <v>0.00019</v>
      </c>
      <c r="AA55">
        <v>19225.64</v>
      </c>
      <c r="AB55">
        <v>0</v>
      </c>
      <c r="AC55">
        <v>0</v>
      </c>
      <c r="AD55">
        <v>0</v>
      </c>
      <c r="AN55">
        <v>0</v>
      </c>
      <c r="AO55">
        <v>1</v>
      </c>
      <c r="AP55">
        <v>0</v>
      </c>
      <c r="AQ55">
        <v>0</v>
      </c>
      <c r="AR55">
        <v>0</v>
      </c>
      <c r="AT55">
        <v>0.00019</v>
      </c>
      <c r="AV55">
        <v>0</v>
      </c>
    </row>
    <row r="56" spans="1:48" ht="12.75">
      <c r="A56">
        <f>ROW(Source!A30)</f>
        <v>30</v>
      </c>
      <c r="B56">
        <v>7700095</v>
      </c>
      <c r="C56">
        <v>7700077</v>
      </c>
      <c r="D56">
        <v>6337819</v>
      </c>
      <c r="E56">
        <v>1</v>
      </c>
      <c r="F56">
        <v>1</v>
      </c>
      <c r="G56">
        <v>1</v>
      </c>
      <c r="H56">
        <v>3</v>
      </c>
      <c r="I56" t="s">
        <v>313</v>
      </c>
      <c r="J56" t="s">
        <v>314</v>
      </c>
      <c r="K56" t="s">
        <v>315</v>
      </c>
      <c r="L56">
        <v>1348</v>
      </c>
      <c r="N56">
        <v>1009</v>
      </c>
      <c r="O56" t="s">
        <v>293</v>
      </c>
      <c r="P56" t="s">
        <v>293</v>
      </c>
      <c r="Q56">
        <v>1000</v>
      </c>
      <c r="Y56">
        <v>0.00025</v>
      </c>
      <c r="AA56">
        <v>32532.59</v>
      </c>
      <c r="AB56">
        <v>0</v>
      </c>
      <c r="AC56">
        <v>0</v>
      </c>
      <c r="AD56">
        <v>0</v>
      </c>
      <c r="AN56">
        <v>0</v>
      </c>
      <c r="AO56">
        <v>1</v>
      </c>
      <c r="AP56">
        <v>0</v>
      </c>
      <c r="AQ56">
        <v>0</v>
      </c>
      <c r="AR56">
        <v>0</v>
      </c>
      <c r="AT56">
        <v>0.00025</v>
      </c>
      <c r="AV56">
        <v>0</v>
      </c>
    </row>
    <row r="57" spans="1:48" ht="12.75">
      <c r="A57">
        <f>ROW(Source!A30)</f>
        <v>30</v>
      </c>
      <c r="B57">
        <v>7700098</v>
      </c>
      <c r="C57">
        <v>7700077</v>
      </c>
      <c r="D57">
        <v>0</v>
      </c>
      <c r="E57">
        <v>0</v>
      </c>
      <c r="F57">
        <v>1</v>
      </c>
      <c r="G57">
        <v>1</v>
      </c>
      <c r="H57">
        <v>3</v>
      </c>
      <c r="I57" t="s">
        <v>34</v>
      </c>
      <c r="K57" t="s">
        <v>35</v>
      </c>
      <c r="L57">
        <v>1378</v>
      </c>
      <c r="N57">
        <v>1013</v>
      </c>
      <c r="O57" t="s">
        <v>36</v>
      </c>
      <c r="P57" t="s">
        <v>36</v>
      </c>
      <c r="Q57">
        <v>1</v>
      </c>
      <c r="Y57">
        <v>0.03</v>
      </c>
      <c r="AA57">
        <v>4974.2</v>
      </c>
      <c r="AB57">
        <v>0</v>
      </c>
      <c r="AC57">
        <v>0</v>
      </c>
      <c r="AD57">
        <v>0</v>
      </c>
      <c r="AN57">
        <v>0</v>
      </c>
      <c r="AO57">
        <v>0</v>
      </c>
      <c r="AP57">
        <v>2</v>
      </c>
      <c r="AQ57">
        <v>0</v>
      </c>
      <c r="AR57">
        <v>0</v>
      </c>
      <c r="AT57">
        <v>0.03</v>
      </c>
      <c r="AV57">
        <v>0</v>
      </c>
    </row>
    <row r="58" spans="1:48" ht="12.75">
      <c r="A58">
        <f>ROW(Source!A30)</f>
        <v>30</v>
      </c>
      <c r="B58">
        <v>7700096</v>
      </c>
      <c r="C58">
        <v>7700077</v>
      </c>
      <c r="D58">
        <v>6358018</v>
      </c>
      <c r="E58">
        <v>1</v>
      </c>
      <c r="F58">
        <v>1</v>
      </c>
      <c r="G58">
        <v>1</v>
      </c>
      <c r="H58">
        <v>3</v>
      </c>
      <c r="I58" t="s">
        <v>38</v>
      </c>
      <c r="J58" t="s">
        <v>40</v>
      </c>
      <c r="K58" t="s">
        <v>39</v>
      </c>
      <c r="L58">
        <v>1354</v>
      </c>
      <c r="N58">
        <v>1010</v>
      </c>
      <c r="O58" t="s">
        <v>20</v>
      </c>
      <c r="P58" t="s">
        <v>20</v>
      </c>
      <c r="Q58">
        <v>1</v>
      </c>
      <c r="Y58">
        <v>1</v>
      </c>
      <c r="AA58">
        <v>76.6</v>
      </c>
      <c r="AB58">
        <v>0</v>
      </c>
      <c r="AC58">
        <v>0</v>
      </c>
      <c r="AD58">
        <v>0</v>
      </c>
      <c r="AN58">
        <v>0</v>
      </c>
      <c r="AO58">
        <v>0</v>
      </c>
      <c r="AP58">
        <v>2</v>
      </c>
      <c r="AQ58">
        <v>0</v>
      </c>
      <c r="AR58">
        <v>0</v>
      </c>
      <c r="AT58">
        <v>1</v>
      </c>
      <c r="AV58">
        <v>0</v>
      </c>
    </row>
    <row r="59" spans="1:48" ht="12.75">
      <c r="A59">
        <f>ROW(Source!A36)</f>
        <v>36</v>
      </c>
      <c r="B59">
        <v>7700112</v>
      </c>
      <c r="C59">
        <v>7700111</v>
      </c>
      <c r="D59">
        <v>5612288</v>
      </c>
      <c r="E59">
        <v>1</v>
      </c>
      <c r="F59">
        <v>1</v>
      </c>
      <c r="G59">
        <v>1</v>
      </c>
      <c r="H59">
        <v>1</v>
      </c>
      <c r="I59" t="s">
        <v>319</v>
      </c>
      <c r="K59" t="s">
        <v>320</v>
      </c>
      <c r="L59">
        <v>1476</v>
      </c>
      <c r="N59">
        <v>1013</v>
      </c>
      <c r="O59" t="s">
        <v>271</v>
      </c>
      <c r="P59" t="s">
        <v>272</v>
      </c>
      <c r="Q59">
        <v>1</v>
      </c>
      <c r="Y59">
        <v>1.03</v>
      </c>
      <c r="AA59">
        <v>0</v>
      </c>
      <c r="AB59">
        <v>0</v>
      </c>
      <c r="AC59">
        <v>0</v>
      </c>
      <c r="AD59">
        <v>9.91</v>
      </c>
      <c r="AN59">
        <v>0</v>
      </c>
      <c r="AO59">
        <v>1</v>
      </c>
      <c r="AP59">
        <v>0</v>
      </c>
      <c r="AQ59">
        <v>0</v>
      </c>
      <c r="AR59">
        <v>0</v>
      </c>
      <c r="AT59">
        <v>1.03</v>
      </c>
      <c r="AV59">
        <v>1</v>
      </c>
    </row>
    <row r="60" spans="1:48" ht="12.75">
      <c r="A60">
        <f>ROW(Source!A36)</f>
        <v>36</v>
      </c>
      <c r="B60">
        <v>7700113</v>
      </c>
      <c r="C60">
        <v>7700111</v>
      </c>
      <c r="D60">
        <v>6333963</v>
      </c>
      <c r="E60">
        <v>1</v>
      </c>
      <c r="F60">
        <v>1</v>
      </c>
      <c r="G60">
        <v>1</v>
      </c>
      <c r="H60">
        <v>3</v>
      </c>
      <c r="I60" t="s">
        <v>352</v>
      </c>
      <c r="J60" t="s">
        <v>353</v>
      </c>
      <c r="K60" t="s">
        <v>354</v>
      </c>
      <c r="L60">
        <v>1346</v>
      </c>
      <c r="N60">
        <v>1009</v>
      </c>
      <c r="O60" t="s">
        <v>306</v>
      </c>
      <c r="P60" t="s">
        <v>306</v>
      </c>
      <c r="Q60">
        <v>1</v>
      </c>
      <c r="Y60">
        <v>0.042</v>
      </c>
      <c r="AA60">
        <v>26.44</v>
      </c>
      <c r="AB60">
        <v>0</v>
      </c>
      <c r="AC60">
        <v>0</v>
      </c>
      <c r="AD60">
        <v>0</v>
      </c>
      <c r="AN60">
        <v>0</v>
      </c>
      <c r="AO60">
        <v>1</v>
      </c>
      <c r="AP60">
        <v>0</v>
      </c>
      <c r="AQ60">
        <v>0</v>
      </c>
      <c r="AR60">
        <v>0</v>
      </c>
      <c r="AT60">
        <v>0.042</v>
      </c>
      <c r="AV60">
        <v>0</v>
      </c>
    </row>
    <row r="61" spans="1:48" ht="12.75">
      <c r="A61">
        <f>ROW(Source!A37)</f>
        <v>37</v>
      </c>
      <c r="B61">
        <v>7700291</v>
      </c>
      <c r="C61">
        <v>7700289</v>
      </c>
      <c r="D61">
        <v>5612288</v>
      </c>
      <c r="E61">
        <v>1</v>
      </c>
      <c r="F61">
        <v>1</v>
      </c>
      <c r="G61">
        <v>1</v>
      </c>
      <c r="H61">
        <v>1</v>
      </c>
      <c r="I61" t="s">
        <v>319</v>
      </c>
      <c r="K61" t="s">
        <v>320</v>
      </c>
      <c r="L61">
        <v>1476</v>
      </c>
      <c r="N61">
        <v>1013</v>
      </c>
      <c r="O61" t="s">
        <v>271</v>
      </c>
      <c r="P61" t="s">
        <v>272</v>
      </c>
      <c r="Q61">
        <v>1</v>
      </c>
      <c r="Y61">
        <v>8.98</v>
      </c>
      <c r="AA61">
        <v>0</v>
      </c>
      <c r="AB61">
        <v>0</v>
      </c>
      <c r="AC61">
        <v>0</v>
      </c>
      <c r="AD61">
        <v>9.91</v>
      </c>
      <c r="AN61">
        <v>0</v>
      </c>
      <c r="AO61">
        <v>1</v>
      </c>
      <c r="AP61">
        <v>0</v>
      </c>
      <c r="AQ61">
        <v>0</v>
      </c>
      <c r="AR61">
        <v>0</v>
      </c>
      <c r="AT61">
        <v>8.98</v>
      </c>
      <c r="AV61">
        <v>1</v>
      </c>
    </row>
    <row r="62" spans="1:48" ht="12.75">
      <c r="A62">
        <f>ROW(Source!A37)</f>
        <v>37</v>
      </c>
      <c r="B62">
        <v>7700292</v>
      </c>
      <c r="C62">
        <v>7700289</v>
      </c>
      <c r="D62">
        <v>121548</v>
      </c>
      <c r="E62">
        <v>1</v>
      </c>
      <c r="F62">
        <v>1</v>
      </c>
      <c r="G62">
        <v>1</v>
      </c>
      <c r="H62">
        <v>1</v>
      </c>
      <c r="I62" t="s">
        <v>24</v>
      </c>
      <c r="K62" t="s">
        <v>273</v>
      </c>
      <c r="L62">
        <v>608254</v>
      </c>
      <c r="N62">
        <v>1013</v>
      </c>
      <c r="O62" t="s">
        <v>274</v>
      </c>
      <c r="P62" t="s">
        <v>274</v>
      </c>
      <c r="Q62">
        <v>1</v>
      </c>
      <c r="Y62">
        <v>0.44</v>
      </c>
      <c r="AA62">
        <v>0</v>
      </c>
      <c r="AB62">
        <v>0</v>
      </c>
      <c r="AC62">
        <v>0</v>
      </c>
      <c r="AD62">
        <v>0</v>
      </c>
      <c r="AN62">
        <v>0</v>
      </c>
      <c r="AO62">
        <v>1</v>
      </c>
      <c r="AP62">
        <v>0</v>
      </c>
      <c r="AQ62">
        <v>0</v>
      </c>
      <c r="AR62">
        <v>0</v>
      </c>
      <c r="AT62">
        <v>0.44</v>
      </c>
      <c r="AV62">
        <v>2</v>
      </c>
    </row>
    <row r="63" spans="1:48" ht="12.75">
      <c r="A63">
        <f>ROW(Source!A37)</f>
        <v>37</v>
      </c>
      <c r="B63">
        <v>7700293</v>
      </c>
      <c r="C63">
        <v>7700289</v>
      </c>
      <c r="D63">
        <v>6298444</v>
      </c>
      <c r="E63">
        <v>1</v>
      </c>
      <c r="F63">
        <v>1</v>
      </c>
      <c r="G63">
        <v>1</v>
      </c>
      <c r="H63">
        <v>2</v>
      </c>
      <c r="I63" t="s">
        <v>275</v>
      </c>
      <c r="J63" t="s">
        <v>276</v>
      </c>
      <c r="K63" t="s">
        <v>277</v>
      </c>
      <c r="L63">
        <v>1480</v>
      </c>
      <c r="N63">
        <v>1013</v>
      </c>
      <c r="O63" t="s">
        <v>278</v>
      </c>
      <c r="P63" t="s">
        <v>279</v>
      </c>
      <c r="Q63">
        <v>1</v>
      </c>
      <c r="Y63">
        <v>0.22</v>
      </c>
      <c r="AA63">
        <v>0</v>
      </c>
      <c r="AB63">
        <v>134.99</v>
      </c>
      <c r="AC63">
        <v>11.81</v>
      </c>
      <c r="AD63">
        <v>0</v>
      </c>
      <c r="AN63">
        <v>0</v>
      </c>
      <c r="AO63">
        <v>1</v>
      </c>
      <c r="AP63">
        <v>0</v>
      </c>
      <c r="AQ63">
        <v>0</v>
      </c>
      <c r="AR63">
        <v>0</v>
      </c>
      <c r="AT63">
        <v>0.22</v>
      </c>
      <c r="AV63">
        <v>0</v>
      </c>
    </row>
    <row r="64" spans="1:48" ht="12.75">
      <c r="A64">
        <f>ROW(Source!A37)</f>
        <v>37</v>
      </c>
      <c r="B64">
        <v>7700294</v>
      </c>
      <c r="C64">
        <v>7700289</v>
      </c>
      <c r="D64">
        <v>6300745</v>
      </c>
      <c r="E64">
        <v>1</v>
      </c>
      <c r="F64">
        <v>1</v>
      </c>
      <c r="G64">
        <v>1</v>
      </c>
      <c r="H64">
        <v>2</v>
      </c>
      <c r="I64" t="s">
        <v>287</v>
      </c>
      <c r="J64" t="s">
        <v>288</v>
      </c>
      <c r="K64" t="s">
        <v>289</v>
      </c>
      <c r="L64">
        <v>1368</v>
      </c>
      <c r="N64">
        <v>1011</v>
      </c>
      <c r="O64" t="s">
        <v>283</v>
      </c>
      <c r="P64" t="s">
        <v>283</v>
      </c>
      <c r="Q64">
        <v>1</v>
      </c>
      <c r="Y64">
        <v>0.22</v>
      </c>
      <c r="AA64">
        <v>0</v>
      </c>
      <c r="AB64">
        <v>60.77</v>
      </c>
      <c r="AC64">
        <v>11.81</v>
      </c>
      <c r="AD64">
        <v>0</v>
      </c>
      <c r="AN64">
        <v>0</v>
      </c>
      <c r="AO64">
        <v>1</v>
      </c>
      <c r="AP64">
        <v>0</v>
      </c>
      <c r="AQ64">
        <v>0</v>
      </c>
      <c r="AR64">
        <v>0</v>
      </c>
      <c r="AT64">
        <v>0.22</v>
      </c>
      <c r="AV64">
        <v>0</v>
      </c>
    </row>
    <row r="65" spans="1:48" ht="12.75">
      <c r="A65">
        <f>ROW(Source!A37)</f>
        <v>37</v>
      </c>
      <c r="B65">
        <v>7700295</v>
      </c>
      <c r="C65">
        <v>7700289</v>
      </c>
      <c r="D65">
        <v>6332634</v>
      </c>
      <c r="E65">
        <v>1</v>
      </c>
      <c r="F65">
        <v>1</v>
      </c>
      <c r="G65">
        <v>1</v>
      </c>
      <c r="H65">
        <v>3</v>
      </c>
      <c r="I65" t="s">
        <v>355</v>
      </c>
      <c r="J65" t="s">
        <v>356</v>
      </c>
      <c r="K65" t="s">
        <v>357</v>
      </c>
      <c r="L65">
        <v>1346</v>
      </c>
      <c r="N65">
        <v>1009</v>
      </c>
      <c r="O65" t="s">
        <v>306</v>
      </c>
      <c r="P65" t="s">
        <v>306</v>
      </c>
      <c r="Q65">
        <v>1</v>
      </c>
      <c r="Y65">
        <v>0.684</v>
      </c>
      <c r="AA65">
        <v>26.94</v>
      </c>
      <c r="AB65">
        <v>0</v>
      </c>
      <c r="AC65">
        <v>0</v>
      </c>
      <c r="AD65">
        <v>0</v>
      </c>
      <c r="AN65">
        <v>0</v>
      </c>
      <c r="AO65">
        <v>1</v>
      </c>
      <c r="AP65">
        <v>0</v>
      </c>
      <c r="AQ65">
        <v>0</v>
      </c>
      <c r="AR65">
        <v>0</v>
      </c>
      <c r="AT65">
        <v>0.684</v>
      </c>
      <c r="AV65">
        <v>0</v>
      </c>
    </row>
    <row r="66" spans="1:48" ht="12.75">
      <c r="A66">
        <f>ROW(Source!A38)</f>
        <v>38</v>
      </c>
      <c r="B66">
        <v>7700115</v>
      </c>
      <c r="C66">
        <v>7700114</v>
      </c>
      <c r="D66">
        <v>5642331</v>
      </c>
      <c r="E66">
        <v>1</v>
      </c>
      <c r="F66">
        <v>1</v>
      </c>
      <c r="G66">
        <v>1</v>
      </c>
      <c r="H66">
        <v>1</v>
      </c>
      <c r="I66" t="s">
        <v>358</v>
      </c>
      <c r="K66" t="s">
        <v>359</v>
      </c>
      <c r="L66">
        <v>1476</v>
      </c>
      <c r="N66">
        <v>1013</v>
      </c>
      <c r="O66" t="s">
        <v>271</v>
      </c>
      <c r="P66" t="s">
        <v>272</v>
      </c>
      <c r="Q66">
        <v>1</v>
      </c>
      <c r="Y66">
        <v>12.4</v>
      </c>
      <c r="AA66">
        <v>0</v>
      </c>
      <c r="AB66">
        <v>0</v>
      </c>
      <c r="AC66">
        <v>0</v>
      </c>
      <c r="AD66">
        <v>11.08</v>
      </c>
      <c r="AN66">
        <v>0</v>
      </c>
      <c r="AO66">
        <v>1</v>
      </c>
      <c r="AP66">
        <v>0</v>
      </c>
      <c r="AQ66">
        <v>0</v>
      </c>
      <c r="AR66">
        <v>0</v>
      </c>
      <c r="AT66">
        <v>12.4</v>
      </c>
      <c r="AV66">
        <v>1</v>
      </c>
    </row>
    <row r="67" spans="1:48" ht="12.75">
      <c r="A67">
        <f>ROW(Source!A38)</f>
        <v>38</v>
      </c>
      <c r="B67">
        <v>7700116</v>
      </c>
      <c r="C67">
        <v>7700114</v>
      </c>
      <c r="D67">
        <v>6332220</v>
      </c>
      <c r="E67">
        <v>1</v>
      </c>
      <c r="F67">
        <v>1</v>
      </c>
      <c r="G67">
        <v>1</v>
      </c>
      <c r="H67">
        <v>3</v>
      </c>
      <c r="I67" t="s">
        <v>360</v>
      </c>
      <c r="J67" t="s">
        <v>361</v>
      </c>
      <c r="K67" t="s">
        <v>362</v>
      </c>
      <c r="L67">
        <v>1346</v>
      </c>
      <c r="N67">
        <v>1009</v>
      </c>
      <c r="O67" t="s">
        <v>306</v>
      </c>
      <c r="P67" t="s">
        <v>306</v>
      </c>
      <c r="Q67">
        <v>1</v>
      </c>
      <c r="Y67">
        <v>0.1</v>
      </c>
      <c r="AA67">
        <v>41.22</v>
      </c>
      <c r="AB67">
        <v>0</v>
      </c>
      <c r="AC67">
        <v>0</v>
      </c>
      <c r="AD67">
        <v>0</v>
      </c>
      <c r="AN67">
        <v>0</v>
      </c>
      <c r="AO67">
        <v>1</v>
      </c>
      <c r="AP67">
        <v>0</v>
      </c>
      <c r="AQ67">
        <v>0</v>
      </c>
      <c r="AR67">
        <v>0</v>
      </c>
      <c r="AT67">
        <v>0.1</v>
      </c>
      <c r="AV67">
        <v>0</v>
      </c>
    </row>
    <row r="68" spans="1:48" ht="12.75">
      <c r="A68">
        <f>ROW(Source!A38)</f>
        <v>38</v>
      </c>
      <c r="B68">
        <v>7700117</v>
      </c>
      <c r="C68">
        <v>7700114</v>
      </c>
      <c r="D68">
        <v>6337485</v>
      </c>
      <c r="E68">
        <v>1</v>
      </c>
      <c r="F68">
        <v>1</v>
      </c>
      <c r="G68">
        <v>1</v>
      </c>
      <c r="H68">
        <v>3</v>
      </c>
      <c r="I68" t="s">
        <v>363</v>
      </c>
      <c r="J68" t="s">
        <v>364</v>
      </c>
      <c r="K68" t="s">
        <v>365</v>
      </c>
      <c r="L68">
        <v>1355</v>
      </c>
      <c r="N68">
        <v>1010</v>
      </c>
      <c r="O68" t="s">
        <v>141</v>
      </c>
      <c r="P68" t="s">
        <v>141</v>
      </c>
      <c r="Q68">
        <v>100</v>
      </c>
      <c r="Y68">
        <v>0.0015</v>
      </c>
      <c r="AA68">
        <v>30.74</v>
      </c>
      <c r="AB68">
        <v>0</v>
      </c>
      <c r="AC68">
        <v>0</v>
      </c>
      <c r="AD68">
        <v>0</v>
      </c>
      <c r="AN68">
        <v>0</v>
      </c>
      <c r="AO68">
        <v>1</v>
      </c>
      <c r="AP68">
        <v>0</v>
      </c>
      <c r="AQ68">
        <v>0</v>
      </c>
      <c r="AR68">
        <v>0</v>
      </c>
      <c r="AT68">
        <v>0.0015</v>
      </c>
      <c r="AV68">
        <v>0</v>
      </c>
    </row>
    <row r="69" spans="1:48" ht="12.75">
      <c r="A69">
        <f>ROW(Source!A38)</f>
        <v>38</v>
      </c>
      <c r="B69">
        <v>7700118</v>
      </c>
      <c r="C69">
        <v>7700114</v>
      </c>
      <c r="D69">
        <v>6360695</v>
      </c>
      <c r="E69">
        <v>1</v>
      </c>
      <c r="F69">
        <v>1</v>
      </c>
      <c r="G69">
        <v>1</v>
      </c>
      <c r="H69">
        <v>3</v>
      </c>
      <c r="I69" t="s">
        <v>63</v>
      </c>
      <c r="J69" t="s">
        <v>66</v>
      </c>
      <c r="K69" t="s">
        <v>64</v>
      </c>
      <c r="L69">
        <v>1477</v>
      </c>
      <c r="N69">
        <v>1013</v>
      </c>
      <c r="O69" t="s">
        <v>65</v>
      </c>
      <c r="P69" t="s">
        <v>67</v>
      </c>
      <c r="Q69">
        <v>1</v>
      </c>
      <c r="Y69">
        <v>0.1</v>
      </c>
      <c r="AA69">
        <v>1154.18</v>
      </c>
      <c r="AB69">
        <v>0</v>
      </c>
      <c r="AC69">
        <v>0</v>
      </c>
      <c r="AD69">
        <v>0</v>
      </c>
      <c r="AN69">
        <v>0</v>
      </c>
      <c r="AO69">
        <v>0</v>
      </c>
      <c r="AP69">
        <v>2</v>
      </c>
      <c r="AQ69">
        <v>0</v>
      </c>
      <c r="AR69">
        <v>0</v>
      </c>
      <c r="AT69">
        <v>0.1</v>
      </c>
      <c r="AV69">
        <v>0</v>
      </c>
    </row>
    <row r="70" spans="1:48" ht="12.75">
      <c r="A70">
        <f>ROW(Source!A40)</f>
        <v>40</v>
      </c>
      <c r="B70">
        <v>7700123</v>
      </c>
      <c r="C70">
        <v>7700121</v>
      </c>
      <c r="D70">
        <v>5608703</v>
      </c>
      <c r="E70">
        <v>1</v>
      </c>
      <c r="F70">
        <v>1</v>
      </c>
      <c r="G70">
        <v>1</v>
      </c>
      <c r="H70">
        <v>1</v>
      </c>
      <c r="I70" t="s">
        <v>366</v>
      </c>
      <c r="K70" t="s">
        <v>367</v>
      </c>
      <c r="L70">
        <v>1476</v>
      </c>
      <c r="N70">
        <v>1013</v>
      </c>
      <c r="O70" t="s">
        <v>271</v>
      </c>
      <c r="P70" t="s">
        <v>272</v>
      </c>
      <c r="Q70">
        <v>1</v>
      </c>
      <c r="Y70">
        <v>12.4</v>
      </c>
      <c r="AA70">
        <v>0</v>
      </c>
      <c r="AB70">
        <v>0</v>
      </c>
      <c r="AC70">
        <v>0</v>
      </c>
      <c r="AD70">
        <v>9.61</v>
      </c>
      <c r="AN70">
        <v>0</v>
      </c>
      <c r="AO70">
        <v>1</v>
      </c>
      <c r="AP70">
        <v>0</v>
      </c>
      <c r="AQ70">
        <v>0</v>
      </c>
      <c r="AR70">
        <v>0</v>
      </c>
      <c r="AT70">
        <v>12.4</v>
      </c>
      <c r="AV70">
        <v>1</v>
      </c>
    </row>
    <row r="71" spans="1:48" ht="12.75">
      <c r="A71">
        <f>ROW(Source!A40)</f>
        <v>40</v>
      </c>
      <c r="B71">
        <v>7700124</v>
      </c>
      <c r="C71">
        <v>7700121</v>
      </c>
      <c r="D71">
        <v>121548</v>
      </c>
      <c r="E71">
        <v>1</v>
      </c>
      <c r="F71">
        <v>1</v>
      </c>
      <c r="G71">
        <v>1</v>
      </c>
      <c r="H71">
        <v>1</v>
      </c>
      <c r="I71" t="s">
        <v>24</v>
      </c>
      <c r="K71" t="s">
        <v>273</v>
      </c>
      <c r="L71">
        <v>608254</v>
      </c>
      <c r="N71">
        <v>1013</v>
      </c>
      <c r="O71" t="s">
        <v>274</v>
      </c>
      <c r="P71" t="s">
        <v>274</v>
      </c>
      <c r="Q71">
        <v>1</v>
      </c>
      <c r="Y71">
        <v>3.78</v>
      </c>
      <c r="AA71">
        <v>0</v>
      </c>
      <c r="AB71">
        <v>0</v>
      </c>
      <c r="AC71">
        <v>0</v>
      </c>
      <c r="AD71">
        <v>0</v>
      </c>
      <c r="AN71">
        <v>0</v>
      </c>
      <c r="AO71">
        <v>1</v>
      </c>
      <c r="AP71">
        <v>0</v>
      </c>
      <c r="AQ71">
        <v>0</v>
      </c>
      <c r="AR71">
        <v>0</v>
      </c>
      <c r="AT71">
        <v>3.78</v>
      </c>
      <c r="AV71">
        <v>2</v>
      </c>
    </row>
    <row r="72" spans="1:48" ht="12.75">
      <c r="A72">
        <f>ROW(Source!A40)</f>
        <v>40</v>
      </c>
      <c r="B72">
        <v>7700125</v>
      </c>
      <c r="C72">
        <v>7700121</v>
      </c>
      <c r="D72">
        <v>6298444</v>
      </c>
      <c r="E72">
        <v>1</v>
      </c>
      <c r="F72">
        <v>1</v>
      </c>
      <c r="G72">
        <v>1</v>
      </c>
      <c r="H72">
        <v>2</v>
      </c>
      <c r="I72" t="s">
        <v>275</v>
      </c>
      <c r="J72" t="s">
        <v>276</v>
      </c>
      <c r="K72" t="s">
        <v>277</v>
      </c>
      <c r="L72">
        <v>1480</v>
      </c>
      <c r="N72">
        <v>1013</v>
      </c>
      <c r="O72" t="s">
        <v>278</v>
      </c>
      <c r="P72" t="s">
        <v>279</v>
      </c>
      <c r="Q72">
        <v>1</v>
      </c>
      <c r="Y72">
        <v>0.39</v>
      </c>
      <c r="AA72">
        <v>0</v>
      </c>
      <c r="AB72">
        <v>134.99</v>
      </c>
      <c r="AC72">
        <v>11.81</v>
      </c>
      <c r="AD72">
        <v>0</v>
      </c>
      <c r="AN72">
        <v>0</v>
      </c>
      <c r="AO72">
        <v>1</v>
      </c>
      <c r="AP72">
        <v>0</v>
      </c>
      <c r="AQ72">
        <v>0</v>
      </c>
      <c r="AR72">
        <v>0</v>
      </c>
      <c r="AT72">
        <v>0.39</v>
      </c>
      <c r="AV72">
        <v>0</v>
      </c>
    </row>
    <row r="73" spans="1:48" ht="12.75">
      <c r="A73">
        <f>ROW(Source!A40)</f>
        <v>40</v>
      </c>
      <c r="B73">
        <v>7700126</v>
      </c>
      <c r="C73">
        <v>7700121</v>
      </c>
      <c r="D73">
        <v>6298627</v>
      </c>
      <c r="E73">
        <v>1</v>
      </c>
      <c r="F73">
        <v>1</v>
      </c>
      <c r="G73">
        <v>1</v>
      </c>
      <c r="H73">
        <v>2</v>
      </c>
      <c r="I73" t="s">
        <v>368</v>
      </c>
      <c r="J73" t="s">
        <v>369</v>
      </c>
      <c r="K73" t="s">
        <v>370</v>
      </c>
      <c r="L73">
        <v>1368</v>
      </c>
      <c r="N73">
        <v>1011</v>
      </c>
      <c r="O73" t="s">
        <v>283</v>
      </c>
      <c r="P73" t="s">
        <v>283</v>
      </c>
      <c r="Q73">
        <v>1</v>
      </c>
      <c r="Y73">
        <v>3</v>
      </c>
      <c r="AA73">
        <v>0</v>
      </c>
      <c r="AB73">
        <v>0.68</v>
      </c>
      <c r="AC73">
        <v>0</v>
      </c>
      <c r="AD73">
        <v>0</v>
      </c>
      <c r="AN73">
        <v>0</v>
      </c>
      <c r="AO73">
        <v>1</v>
      </c>
      <c r="AP73">
        <v>0</v>
      </c>
      <c r="AQ73">
        <v>0</v>
      </c>
      <c r="AR73">
        <v>0</v>
      </c>
      <c r="AT73">
        <v>3</v>
      </c>
      <c r="AV73">
        <v>0</v>
      </c>
    </row>
    <row r="74" spans="1:48" ht="12.75">
      <c r="A74">
        <f>ROW(Source!A40)</f>
        <v>40</v>
      </c>
      <c r="B74">
        <v>7700127</v>
      </c>
      <c r="C74">
        <v>7700121</v>
      </c>
      <c r="D74">
        <v>6298646</v>
      </c>
      <c r="E74">
        <v>1</v>
      </c>
      <c r="F74">
        <v>1</v>
      </c>
      <c r="G74">
        <v>1</v>
      </c>
      <c r="H74">
        <v>2</v>
      </c>
      <c r="I74" t="s">
        <v>371</v>
      </c>
      <c r="J74" t="s">
        <v>372</v>
      </c>
      <c r="K74" t="s">
        <v>373</v>
      </c>
      <c r="L74">
        <v>1368</v>
      </c>
      <c r="N74">
        <v>1011</v>
      </c>
      <c r="O74" t="s">
        <v>283</v>
      </c>
      <c r="P74" t="s">
        <v>283</v>
      </c>
      <c r="Q74">
        <v>1</v>
      </c>
      <c r="Y74">
        <v>3</v>
      </c>
      <c r="AA74">
        <v>0</v>
      </c>
      <c r="AB74">
        <v>109.17</v>
      </c>
      <c r="AC74">
        <v>11.81</v>
      </c>
      <c r="AD74">
        <v>0</v>
      </c>
      <c r="AN74">
        <v>0</v>
      </c>
      <c r="AO74">
        <v>1</v>
      </c>
      <c r="AP74">
        <v>0</v>
      </c>
      <c r="AQ74">
        <v>0</v>
      </c>
      <c r="AR74">
        <v>0</v>
      </c>
      <c r="AT74">
        <v>3</v>
      </c>
      <c r="AV74">
        <v>0</v>
      </c>
    </row>
    <row r="75" spans="1:48" ht="12.75">
      <c r="A75">
        <f>ROW(Source!A40)</f>
        <v>40</v>
      </c>
      <c r="B75">
        <v>7700128</v>
      </c>
      <c r="C75">
        <v>7700121</v>
      </c>
      <c r="D75">
        <v>6300746</v>
      </c>
      <c r="E75">
        <v>1</v>
      </c>
      <c r="F75">
        <v>1</v>
      </c>
      <c r="G75">
        <v>1</v>
      </c>
      <c r="H75">
        <v>2</v>
      </c>
      <c r="I75" t="s">
        <v>374</v>
      </c>
      <c r="J75" t="s">
        <v>375</v>
      </c>
      <c r="K75" t="s">
        <v>376</v>
      </c>
      <c r="L75">
        <v>1368</v>
      </c>
      <c r="N75">
        <v>1011</v>
      </c>
      <c r="O75" t="s">
        <v>283</v>
      </c>
      <c r="P75" t="s">
        <v>283</v>
      </c>
      <c r="Q75">
        <v>1</v>
      </c>
      <c r="Y75">
        <v>0.39</v>
      </c>
      <c r="AA75">
        <v>0</v>
      </c>
      <c r="AB75">
        <v>70.53</v>
      </c>
      <c r="AC75">
        <v>33.66</v>
      </c>
      <c r="AD75">
        <v>0</v>
      </c>
      <c r="AN75">
        <v>0</v>
      </c>
      <c r="AO75">
        <v>1</v>
      </c>
      <c r="AP75">
        <v>0</v>
      </c>
      <c r="AQ75">
        <v>0</v>
      </c>
      <c r="AR75">
        <v>0</v>
      </c>
      <c r="AT75">
        <v>0.39</v>
      </c>
      <c r="AV75">
        <v>0</v>
      </c>
    </row>
    <row r="76" spans="1:48" ht="12.75">
      <c r="A76">
        <f>ROW(Source!A40)</f>
        <v>40</v>
      </c>
      <c r="B76">
        <v>7700129</v>
      </c>
      <c r="C76">
        <v>7700121</v>
      </c>
      <c r="D76">
        <v>6331350</v>
      </c>
      <c r="E76">
        <v>1</v>
      </c>
      <c r="F76">
        <v>1</v>
      </c>
      <c r="G76">
        <v>1</v>
      </c>
      <c r="H76">
        <v>3</v>
      </c>
      <c r="I76" t="s">
        <v>377</v>
      </c>
      <c r="J76" t="s">
        <v>378</v>
      </c>
      <c r="K76" t="s">
        <v>379</v>
      </c>
      <c r="L76">
        <v>1348</v>
      </c>
      <c r="N76">
        <v>1009</v>
      </c>
      <c r="O76" t="s">
        <v>293</v>
      </c>
      <c r="P76" t="s">
        <v>293</v>
      </c>
      <c r="Q76">
        <v>1000</v>
      </c>
      <c r="Y76">
        <v>4E-05</v>
      </c>
      <c r="AA76">
        <v>12122.7</v>
      </c>
      <c r="AB76">
        <v>0</v>
      </c>
      <c r="AC76">
        <v>0</v>
      </c>
      <c r="AD76">
        <v>0</v>
      </c>
      <c r="AN76">
        <v>0</v>
      </c>
      <c r="AO76">
        <v>1</v>
      </c>
      <c r="AP76">
        <v>0</v>
      </c>
      <c r="AQ76">
        <v>0</v>
      </c>
      <c r="AR76">
        <v>0</v>
      </c>
      <c r="AT76">
        <v>4E-05</v>
      </c>
      <c r="AV76">
        <v>0</v>
      </c>
    </row>
    <row r="77" spans="1:48" ht="12.75">
      <c r="A77">
        <f>ROW(Source!A40)</f>
        <v>40</v>
      </c>
      <c r="B77">
        <v>7700130</v>
      </c>
      <c r="C77">
        <v>7700121</v>
      </c>
      <c r="D77">
        <v>6331402</v>
      </c>
      <c r="E77">
        <v>1</v>
      </c>
      <c r="F77">
        <v>1</v>
      </c>
      <c r="G77">
        <v>1</v>
      </c>
      <c r="H77">
        <v>3</v>
      </c>
      <c r="I77" t="s">
        <v>380</v>
      </c>
      <c r="J77" t="s">
        <v>381</v>
      </c>
      <c r="K77" t="s">
        <v>382</v>
      </c>
      <c r="L77">
        <v>1348</v>
      </c>
      <c r="N77">
        <v>1009</v>
      </c>
      <c r="O77" t="s">
        <v>293</v>
      </c>
      <c r="P77" t="s">
        <v>293</v>
      </c>
      <c r="Q77">
        <v>1000</v>
      </c>
      <c r="Y77">
        <v>0.0008</v>
      </c>
      <c r="AA77">
        <v>117435.83</v>
      </c>
      <c r="AB77">
        <v>0</v>
      </c>
      <c r="AC77">
        <v>0</v>
      </c>
      <c r="AD77">
        <v>0</v>
      </c>
      <c r="AN77">
        <v>0</v>
      </c>
      <c r="AO77">
        <v>1</v>
      </c>
      <c r="AP77">
        <v>0</v>
      </c>
      <c r="AQ77">
        <v>0</v>
      </c>
      <c r="AR77">
        <v>0</v>
      </c>
      <c r="AT77">
        <v>0.0008</v>
      </c>
      <c r="AV77">
        <v>0</v>
      </c>
    </row>
    <row r="78" spans="1:48" ht="12.75">
      <c r="A78">
        <f>ROW(Source!A40)</f>
        <v>40</v>
      </c>
      <c r="B78">
        <v>7700131</v>
      </c>
      <c r="C78">
        <v>7700121</v>
      </c>
      <c r="D78">
        <v>6332281</v>
      </c>
      <c r="E78">
        <v>1</v>
      </c>
      <c r="F78">
        <v>1</v>
      </c>
      <c r="G78">
        <v>1</v>
      </c>
      <c r="H78">
        <v>3</v>
      </c>
      <c r="I78" t="s">
        <v>383</v>
      </c>
      <c r="J78" t="s">
        <v>384</v>
      </c>
      <c r="K78" t="s">
        <v>385</v>
      </c>
      <c r="L78">
        <v>1348</v>
      </c>
      <c r="N78">
        <v>1009</v>
      </c>
      <c r="O78" t="s">
        <v>293</v>
      </c>
      <c r="P78" t="s">
        <v>293</v>
      </c>
      <c r="Q78">
        <v>1000</v>
      </c>
      <c r="Y78">
        <v>6E-05</v>
      </c>
      <c r="AA78">
        <v>10432.05</v>
      </c>
      <c r="AB78">
        <v>0</v>
      </c>
      <c r="AC78">
        <v>0</v>
      </c>
      <c r="AD78">
        <v>0</v>
      </c>
      <c r="AN78">
        <v>0</v>
      </c>
      <c r="AO78">
        <v>1</v>
      </c>
      <c r="AP78">
        <v>0</v>
      </c>
      <c r="AQ78">
        <v>0</v>
      </c>
      <c r="AR78">
        <v>0</v>
      </c>
      <c r="AT78">
        <v>6E-05</v>
      </c>
      <c r="AV78">
        <v>0</v>
      </c>
    </row>
    <row r="79" spans="1:48" ht="12.75">
      <c r="A79">
        <f>ROW(Source!A40)</f>
        <v>40</v>
      </c>
      <c r="B79">
        <v>7700132</v>
      </c>
      <c r="C79">
        <v>7700121</v>
      </c>
      <c r="D79">
        <v>6357792</v>
      </c>
      <c r="E79">
        <v>1</v>
      </c>
      <c r="F79">
        <v>1</v>
      </c>
      <c r="G79">
        <v>1</v>
      </c>
      <c r="H79">
        <v>3</v>
      </c>
      <c r="I79" t="s">
        <v>386</v>
      </c>
      <c r="J79" t="s">
        <v>387</v>
      </c>
      <c r="K79" t="s">
        <v>388</v>
      </c>
      <c r="L79">
        <v>1356</v>
      </c>
      <c r="N79">
        <v>1010</v>
      </c>
      <c r="O79" t="s">
        <v>389</v>
      </c>
      <c r="P79" t="s">
        <v>389</v>
      </c>
      <c r="Q79">
        <v>1000</v>
      </c>
      <c r="Y79">
        <v>0.00832</v>
      </c>
      <c r="AA79">
        <v>0</v>
      </c>
      <c r="AB79">
        <v>0</v>
      </c>
      <c r="AC79">
        <v>0</v>
      </c>
      <c r="AD79">
        <v>0</v>
      </c>
      <c r="AN79">
        <v>0</v>
      </c>
      <c r="AO79">
        <v>1</v>
      </c>
      <c r="AP79">
        <v>0</v>
      </c>
      <c r="AQ79">
        <v>0</v>
      </c>
      <c r="AR79">
        <v>0</v>
      </c>
      <c r="AT79">
        <v>0.00832</v>
      </c>
      <c r="AV79">
        <v>0</v>
      </c>
    </row>
    <row r="80" spans="1:48" ht="12.75">
      <c r="A80">
        <f>ROW(Source!A40)</f>
        <v>40</v>
      </c>
      <c r="B80">
        <v>7700133</v>
      </c>
      <c r="C80">
        <v>7700121</v>
      </c>
      <c r="D80">
        <v>6358087</v>
      </c>
      <c r="E80">
        <v>1</v>
      </c>
      <c r="F80">
        <v>1</v>
      </c>
      <c r="G80">
        <v>1</v>
      </c>
      <c r="H80">
        <v>3</v>
      </c>
      <c r="I80" t="s">
        <v>390</v>
      </c>
      <c r="J80" t="s">
        <v>391</v>
      </c>
      <c r="K80" t="s">
        <v>392</v>
      </c>
      <c r="L80">
        <v>1355</v>
      </c>
      <c r="N80">
        <v>1010</v>
      </c>
      <c r="O80" t="s">
        <v>141</v>
      </c>
      <c r="P80" t="s">
        <v>141</v>
      </c>
      <c r="Q80">
        <v>100</v>
      </c>
      <c r="Y80">
        <v>0.0041</v>
      </c>
      <c r="AA80">
        <v>142.5</v>
      </c>
      <c r="AB80">
        <v>0</v>
      </c>
      <c r="AC80">
        <v>0</v>
      </c>
      <c r="AD80">
        <v>0</v>
      </c>
      <c r="AN80">
        <v>0</v>
      </c>
      <c r="AO80">
        <v>1</v>
      </c>
      <c r="AP80">
        <v>0</v>
      </c>
      <c r="AQ80">
        <v>0</v>
      </c>
      <c r="AR80">
        <v>0</v>
      </c>
      <c r="AT80">
        <v>0.0041</v>
      </c>
      <c r="AV80">
        <v>0</v>
      </c>
    </row>
    <row r="81" spans="1:48" ht="12.75">
      <c r="A81">
        <f>ROW(Source!A40)</f>
        <v>40</v>
      </c>
      <c r="B81">
        <v>7700134</v>
      </c>
      <c r="C81">
        <v>7700121</v>
      </c>
      <c r="D81">
        <v>6358120</v>
      </c>
      <c r="E81">
        <v>1</v>
      </c>
      <c r="F81">
        <v>1</v>
      </c>
      <c r="G81">
        <v>1</v>
      </c>
      <c r="H81">
        <v>3</v>
      </c>
      <c r="I81" t="s">
        <v>393</v>
      </c>
      <c r="J81" t="s">
        <v>394</v>
      </c>
      <c r="K81" t="s">
        <v>395</v>
      </c>
      <c r="L81">
        <v>1308</v>
      </c>
      <c r="N81">
        <v>1003</v>
      </c>
      <c r="O81" t="s">
        <v>60</v>
      </c>
      <c r="P81" t="s">
        <v>60</v>
      </c>
      <c r="Q81">
        <v>100</v>
      </c>
      <c r="Y81">
        <v>0.0096</v>
      </c>
      <c r="AA81">
        <v>0</v>
      </c>
      <c r="AB81">
        <v>0</v>
      </c>
      <c r="AC81">
        <v>0</v>
      </c>
      <c r="AD81">
        <v>0</v>
      </c>
      <c r="AN81">
        <v>0</v>
      </c>
      <c r="AO81">
        <v>1</v>
      </c>
      <c r="AP81">
        <v>0</v>
      </c>
      <c r="AQ81">
        <v>0</v>
      </c>
      <c r="AR81">
        <v>0</v>
      </c>
      <c r="AT81">
        <v>0.0096</v>
      </c>
      <c r="AV81">
        <v>0</v>
      </c>
    </row>
    <row r="82" spans="1:48" ht="12.75">
      <c r="A82">
        <f>ROW(Source!A40)</f>
        <v>40</v>
      </c>
      <c r="B82">
        <v>7700135</v>
      </c>
      <c r="C82">
        <v>7700121</v>
      </c>
      <c r="D82">
        <v>6362473</v>
      </c>
      <c r="E82">
        <v>1</v>
      </c>
      <c r="F82">
        <v>1</v>
      </c>
      <c r="G82">
        <v>1</v>
      </c>
      <c r="H82">
        <v>3</v>
      </c>
      <c r="I82" t="s">
        <v>396</v>
      </c>
      <c r="J82" t="s">
        <v>397</v>
      </c>
      <c r="K82" t="s">
        <v>398</v>
      </c>
      <c r="L82">
        <v>1346</v>
      </c>
      <c r="N82">
        <v>1009</v>
      </c>
      <c r="O82" t="s">
        <v>306</v>
      </c>
      <c r="P82" t="s">
        <v>306</v>
      </c>
      <c r="Q82">
        <v>1</v>
      </c>
      <c r="Y82">
        <v>0.5</v>
      </c>
      <c r="AA82">
        <v>68.05</v>
      </c>
      <c r="AB82">
        <v>0</v>
      </c>
      <c r="AC82">
        <v>0</v>
      </c>
      <c r="AD82">
        <v>0</v>
      </c>
      <c r="AN82">
        <v>0</v>
      </c>
      <c r="AO82">
        <v>1</v>
      </c>
      <c r="AP82">
        <v>0</v>
      </c>
      <c r="AQ82">
        <v>0</v>
      </c>
      <c r="AR82">
        <v>0</v>
      </c>
      <c r="AT82">
        <v>0.5</v>
      </c>
      <c r="AV82">
        <v>0</v>
      </c>
    </row>
    <row r="83" spans="1:48" ht="12.75">
      <c r="A83">
        <f>ROW(Source!A41)</f>
        <v>41</v>
      </c>
      <c r="B83">
        <v>7700151</v>
      </c>
      <c r="C83">
        <v>7700136</v>
      </c>
      <c r="D83">
        <v>5603250</v>
      </c>
      <c r="E83">
        <v>1</v>
      </c>
      <c r="F83">
        <v>1</v>
      </c>
      <c r="G83">
        <v>1</v>
      </c>
      <c r="H83">
        <v>1</v>
      </c>
      <c r="I83" t="s">
        <v>399</v>
      </c>
      <c r="K83" t="s">
        <v>400</v>
      </c>
      <c r="L83">
        <v>1476</v>
      </c>
      <c r="N83">
        <v>1013</v>
      </c>
      <c r="O83" t="s">
        <v>271</v>
      </c>
      <c r="P83" t="s">
        <v>272</v>
      </c>
      <c r="Q83">
        <v>1</v>
      </c>
      <c r="Y83">
        <v>15.3</v>
      </c>
      <c r="AA83">
        <v>0</v>
      </c>
      <c r="AB83">
        <v>0</v>
      </c>
      <c r="AC83">
        <v>0</v>
      </c>
      <c r="AD83">
        <v>9.39</v>
      </c>
      <c r="AN83">
        <v>0</v>
      </c>
      <c r="AO83">
        <v>1</v>
      </c>
      <c r="AP83">
        <v>0</v>
      </c>
      <c r="AQ83">
        <v>0</v>
      </c>
      <c r="AR83">
        <v>0</v>
      </c>
      <c r="AT83">
        <v>15.3</v>
      </c>
      <c r="AV83">
        <v>1</v>
      </c>
    </row>
    <row r="84" spans="1:48" ht="12.75">
      <c r="A84">
        <f>ROW(Source!A41)</f>
        <v>41</v>
      </c>
      <c r="B84">
        <v>7700152</v>
      </c>
      <c r="C84">
        <v>7700136</v>
      </c>
      <c r="D84">
        <v>121548</v>
      </c>
      <c r="E84">
        <v>1</v>
      </c>
      <c r="F84">
        <v>1</v>
      </c>
      <c r="G84">
        <v>1</v>
      </c>
      <c r="H84">
        <v>1</v>
      </c>
      <c r="I84" t="s">
        <v>24</v>
      </c>
      <c r="K84" t="s">
        <v>273</v>
      </c>
      <c r="L84">
        <v>608254</v>
      </c>
      <c r="N84">
        <v>1013</v>
      </c>
      <c r="O84" t="s">
        <v>274</v>
      </c>
      <c r="P84" t="s">
        <v>274</v>
      </c>
      <c r="Q84">
        <v>1</v>
      </c>
      <c r="Y84">
        <v>7.17</v>
      </c>
      <c r="AA84">
        <v>0</v>
      </c>
      <c r="AB84">
        <v>0</v>
      </c>
      <c r="AC84">
        <v>0</v>
      </c>
      <c r="AD84">
        <v>0</v>
      </c>
      <c r="AN84">
        <v>0</v>
      </c>
      <c r="AO84">
        <v>1</v>
      </c>
      <c r="AP84">
        <v>0</v>
      </c>
      <c r="AQ84">
        <v>0</v>
      </c>
      <c r="AR84">
        <v>0</v>
      </c>
      <c r="AT84">
        <v>7.17</v>
      </c>
      <c r="AV84">
        <v>2</v>
      </c>
    </row>
    <row r="85" spans="1:48" ht="12.75">
      <c r="A85">
        <f>ROW(Source!A41)</f>
        <v>41</v>
      </c>
      <c r="B85">
        <v>7700153</v>
      </c>
      <c r="C85">
        <v>7700136</v>
      </c>
      <c r="D85">
        <v>6298444</v>
      </c>
      <c r="E85">
        <v>1</v>
      </c>
      <c r="F85">
        <v>1</v>
      </c>
      <c r="G85">
        <v>1</v>
      </c>
      <c r="H85">
        <v>2</v>
      </c>
      <c r="I85" t="s">
        <v>275</v>
      </c>
      <c r="J85" t="s">
        <v>276</v>
      </c>
      <c r="K85" t="s">
        <v>277</v>
      </c>
      <c r="L85">
        <v>1480</v>
      </c>
      <c r="N85">
        <v>1013</v>
      </c>
      <c r="O85" t="s">
        <v>278</v>
      </c>
      <c r="P85" t="s">
        <v>279</v>
      </c>
      <c r="Q85">
        <v>1</v>
      </c>
      <c r="Y85">
        <v>1.89</v>
      </c>
      <c r="AA85">
        <v>0</v>
      </c>
      <c r="AB85">
        <v>134.99</v>
      </c>
      <c r="AC85">
        <v>11.81</v>
      </c>
      <c r="AD85">
        <v>0</v>
      </c>
      <c r="AN85">
        <v>0</v>
      </c>
      <c r="AO85">
        <v>1</v>
      </c>
      <c r="AP85">
        <v>0</v>
      </c>
      <c r="AQ85">
        <v>0</v>
      </c>
      <c r="AR85">
        <v>0</v>
      </c>
      <c r="AT85">
        <v>1.89</v>
      </c>
      <c r="AV85">
        <v>0</v>
      </c>
    </row>
    <row r="86" spans="1:48" ht="12.75">
      <c r="A86">
        <f>ROW(Source!A41)</f>
        <v>41</v>
      </c>
      <c r="B86">
        <v>7700154</v>
      </c>
      <c r="C86">
        <v>7700136</v>
      </c>
      <c r="D86">
        <v>6298669</v>
      </c>
      <c r="E86">
        <v>1</v>
      </c>
      <c r="F86">
        <v>1</v>
      </c>
      <c r="G86">
        <v>1</v>
      </c>
      <c r="H86">
        <v>2</v>
      </c>
      <c r="I86" t="s">
        <v>401</v>
      </c>
      <c r="J86" t="s">
        <v>402</v>
      </c>
      <c r="K86" t="s">
        <v>403</v>
      </c>
      <c r="L86">
        <v>1368</v>
      </c>
      <c r="N86">
        <v>1011</v>
      </c>
      <c r="O86" t="s">
        <v>283</v>
      </c>
      <c r="P86" t="s">
        <v>283</v>
      </c>
      <c r="Q86">
        <v>1</v>
      </c>
      <c r="Y86">
        <v>3.39</v>
      </c>
      <c r="AA86">
        <v>0</v>
      </c>
      <c r="AB86">
        <v>32.01</v>
      </c>
      <c r="AC86">
        <v>11.81</v>
      </c>
      <c r="AD86">
        <v>0</v>
      </c>
      <c r="AN86">
        <v>0</v>
      </c>
      <c r="AO86">
        <v>1</v>
      </c>
      <c r="AP86">
        <v>0</v>
      </c>
      <c r="AQ86">
        <v>0</v>
      </c>
      <c r="AR86">
        <v>0</v>
      </c>
      <c r="AT86">
        <v>3.39</v>
      </c>
      <c r="AV86">
        <v>0</v>
      </c>
    </row>
    <row r="87" spans="1:48" ht="12.75">
      <c r="A87">
        <f>ROW(Source!A41)</f>
        <v>41</v>
      </c>
      <c r="B87">
        <v>7700155</v>
      </c>
      <c r="C87">
        <v>7700136</v>
      </c>
      <c r="D87">
        <v>6298559</v>
      </c>
      <c r="E87">
        <v>1</v>
      </c>
      <c r="F87">
        <v>1</v>
      </c>
      <c r="G87">
        <v>1</v>
      </c>
      <c r="H87">
        <v>2</v>
      </c>
      <c r="I87" t="s">
        <v>280</v>
      </c>
      <c r="J87" t="s">
        <v>281</v>
      </c>
      <c r="K87" t="s">
        <v>282</v>
      </c>
      <c r="L87">
        <v>1368</v>
      </c>
      <c r="N87">
        <v>1011</v>
      </c>
      <c r="O87" t="s">
        <v>283</v>
      </c>
      <c r="P87" t="s">
        <v>283</v>
      </c>
      <c r="Q87">
        <v>1</v>
      </c>
      <c r="Y87">
        <v>2.7</v>
      </c>
      <c r="AA87">
        <v>0</v>
      </c>
      <c r="AB87">
        <v>2.94</v>
      </c>
      <c r="AC87">
        <v>0</v>
      </c>
      <c r="AD87">
        <v>0</v>
      </c>
      <c r="AN87">
        <v>0</v>
      </c>
      <c r="AO87">
        <v>1</v>
      </c>
      <c r="AP87">
        <v>0</v>
      </c>
      <c r="AQ87">
        <v>0</v>
      </c>
      <c r="AR87">
        <v>0</v>
      </c>
      <c r="AT87">
        <v>2.7</v>
      </c>
      <c r="AV87">
        <v>0</v>
      </c>
    </row>
    <row r="88" spans="1:48" ht="12.75">
      <c r="A88">
        <f>ROW(Source!A41)</f>
        <v>41</v>
      </c>
      <c r="B88">
        <v>7700156</v>
      </c>
      <c r="C88">
        <v>7700136</v>
      </c>
      <c r="D88">
        <v>6300385</v>
      </c>
      <c r="E88">
        <v>1</v>
      </c>
      <c r="F88">
        <v>1</v>
      </c>
      <c r="G88">
        <v>1</v>
      </c>
      <c r="H88">
        <v>2</v>
      </c>
      <c r="I88" t="s">
        <v>324</v>
      </c>
      <c r="J88" t="s">
        <v>322</v>
      </c>
      <c r="K88" t="s">
        <v>325</v>
      </c>
      <c r="L88">
        <v>1368</v>
      </c>
      <c r="N88">
        <v>1011</v>
      </c>
      <c r="O88" t="s">
        <v>283</v>
      </c>
      <c r="P88" t="s">
        <v>283</v>
      </c>
      <c r="Q88">
        <v>1</v>
      </c>
      <c r="Y88">
        <v>3.45</v>
      </c>
      <c r="AA88">
        <v>0</v>
      </c>
      <c r="AB88">
        <v>0.56</v>
      </c>
      <c r="AC88">
        <v>0</v>
      </c>
      <c r="AD88">
        <v>0</v>
      </c>
      <c r="AN88">
        <v>0</v>
      </c>
      <c r="AO88">
        <v>1</v>
      </c>
      <c r="AP88">
        <v>0</v>
      </c>
      <c r="AQ88">
        <v>0</v>
      </c>
      <c r="AR88">
        <v>0</v>
      </c>
      <c r="AT88">
        <v>3.45</v>
      </c>
      <c r="AV88">
        <v>0</v>
      </c>
    </row>
    <row r="89" spans="1:48" ht="12.75">
      <c r="A89">
        <f>ROW(Source!A41)</f>
        <v>41</v>
      </c>
      <c r="B89">
        <v>7700157</v>
      </c>
      <c r="C89">
        <v>7700136</v>
      </c>
      <c r="D89">
        <v>6300746</v>
      </c>
      <c r="E89">
        <v>1</v>
      </c>
      <c r="F89">
        <v>1</v>
      </c>
      <c r="G89">
        <v>1</v>
      </c>
      <c r="H89">
        <v>2</v>
      </c>
      <c r="I89" t="s">
        <v>374</v>
      </c>
      <c r="J89" t="s">
        <v>375</v>
      </c>
      <c r="K89" t="s">
        <v>376</v>
      </c>
      <c r="L89">
        <v>1368</v>
      </c>
      <c r="N89">
        <v>1011</v>
      </c>
      <c r="O89" t="s">
        <v>283</v>
      </c>
      <c r="P89" t="s">
        <v>283</v>
      </c>
      <c r="Q89">
        <v>1</v>
      </c>
      <c r="Y89">
        <v>1.89</v>
      </c>
      <c r="AA89">
        <v>0</v>
      </c>
      <c r="AB89">
        <v>70.53</v>
      </c>
      <c r="AC89">
        <v>33.66</v>
      </c>
      <c r="AD89">
        <v>0</v>
      </c>
      <c r="AN89">
        <v>0</v>
      </c>
      <c r="AO89">
        <v>1</v>
      </c>
      <c r="AP89">
        <v>0</v>
      </c>
      <c r="AQ89">
        <v>0</v>
      </c>
      <c r="AR89">
        <v>0</v>
      </c>
      <c r="AT89">
        <v>1.89</v>
      </c>
      <c r="AV89">
        <v>0</v>
      </c>
    </row>
    <row r="90" spans="1:48" ht="12.75">
      <c r="A90">
        <f>ROW(Source!A41)</f>
        <v>41</v>
      </c>
      <c r="B90">
        <v>7700158</v>
      </c>
      <c r="C90">
        <v>7700136</v>
      </c>
      <c r="D90">
        <v>6332387</v>
      </c>
      <c r="E90">
        <v>1</v>
      </c>
      <c r="F90">
        <v>1</v>
      </c>
      <c r="G90">
        <v>1</v>
      </c>
      <c r="H90">
        <v>3</v>
      </c>
      <c r="I90" t="s">
        <v>404</v>
      </c>
      <c r="J90" t="s">
        <v>405</v>
      </c>
      <c r="K90" t="s">
        <v>406</v>
      </c>
      <c r="L90">
        <v>1346</v>
      </c>
      <c r="N90">
        <v>1009</v>
      </c>
      <c r="O90" t="s">
        <v>306</v>
      </c>
      <c r="P90" t="s">
        <v>306</v>
      </c>
      <c r="Q90">
        <v>1</v>
      </c>
      <c r="Y90">
        <v>1.9</v>
      </c>
      <c r="AA90">
        <v>9.45</v>
      </c>
      <c r="AB90">
        <v>0</v>
      </c>
      <c r="AC90">
        <v>0</v>
      </c>
      <c r="AD90">
        <v>0</v>
      </c>
      <c r="AN90">
        <v>0</v>
      </c>
      <c r="AO90">
        <v>1</v>
      </c>
      <c r="AP90">
        <v>0</v>
      </c>
      <c r="AQ90">
        <v>0</v>
      </c>
      <c r="AR90">
        <v>0</v>
      </c>
      <c r="AT90">
        <v>1.9</v>
      </c>
      <c r="AV90">
        <v>0</v>
      </c>
    </row>
    <row r="91" spans="1:48" ht="12.75">
      <c r="A91">
        <f>ROW(Source!A41)</f>
        <v>41</v>
      </c>
      <c r="B91">
        <v>7700159</v>
      </c>
      <c r="C91">
        <v>7700136</v>
      </c>
      <c r="D91">
        <v>6333904</v>
      </c>
      <c r="E91">
        <v>1</v>
      </c>
      <c r="F91">
        <v>1</v>
      </c>
      <c r="G91">
        <v>1</v>
      </c>
      <c r="H91">
        <v>3</v>
      </c>
      <c r="I91" t="s">
        <v>407</v>
      </c>
      <c r="J91" t="s">
        <v>408</v>
      </c>
      <c r="K91" t="s">
        <v>409</v>
      </c>
      <c r="L91">
        <v>1346</v>
      </c>
      <c r="N91">
        <v>1009</v>
      </c>
      <c r="O91" t="s">
        <v>306</v>
      </c>
      <c r="P91" t="s">
        <v>306</v>
      </c>
      <c r="Q91">
        <v>1</v>
      </c>
      <c r="Y91">
        <v>0.4</v>
      </c>
      <c r="AA91">
        <v>12.6</v>
      </c>
      <c r="AB91">
        <v>0</v>
      </c>
      <c r="AC91">
        <v>0</v>
      </c>
      <c r="AD91">
        <v>0</v>
      </c>
      <c r="AN91">
        <v>0</v>
      </c>
      <c r="AO91">
        <v>1</v>
      </c>
      <c r="AP91">
        <v>0</v>
      </c>
      <c r="AQ91">
        <v>0</v>
      </c>
      <c r="AR91">
        <v>0</v>
      </c>
      <c r="AT91">
        <v>0.4</v>
      </c>
      <c r="AV91">
        <v>0</v>
      </c>
    </row>
    <row r="92" spans="1:48" ht="12.75">
      <c r="A92">
        <f>ROW(Source!A41)</f>
        <v>41</v>
      </c>
      <c r="B92">
        <v>7700160</v>
      </c>
      <c r="C92">
        <v>7700136</v>
      </c>
      <c r="D92">
        <v>6357737</v>
      </c>
      <c r="E92">
        <v>1</v>
      </c>
      <c r="F92">
        <v>1</v>
      </c>
      <c r="G92">
        <v>1</v>
      </c>
      <c r="H92">
        <v>3</v>
      </c>
      <c r="I92" t="s">
        <v>410</v>
      </c>
      <c r="J92" t="s">
        <v>411</v>
      </c>
      <c r="K92" t="s">
        <v>412</v>
      </c>
      <c r="L92">
        <v>1355</v>
      </c>
      <c r="N92">
        <v>1010</v>
      </c>
      <c r="O92" t="s">
        <v>141</v>
      </c>
      <c r="P92" t="s">
        <v>141</v>
      </c>
      <c r="Q92">
        <v>100</v>
      </c>
      <c r="Y92">
        <v>0.16</v>
      </c>
      <c r="AA92">
        <v>528</v>
      </c>
      <c r="AB92">
        <v>0</v>
      </c>
      <c r="AC92">
        <v>0</v>
      </c>
      <c r="AD92">
        <v>0</v>
      </c>
      <c r="AN92">
        <v>0</v>
      </c>
      <c r="AO92">
        <v>1</v>
      </c>
      <c r="AP92">
        <v>0</v>
      </c>
      <c r="AQ92">
        <v>0</v>
      </c>
      <c r="AR92">
        <v>0</v>
      </c>
      <c r="AT92">
        <v>0.16</v>
      </c>
      <c r="AV92">
        <v>0</v>
      </c>
    </row>
    <row r="93" spans="1:48" ht="12.75">
      <c r="A93">
        <f>ROW(Source!A41)</f>
        <v>41</v>
      </c>
      <c r="B93">
        <v>7700161</v>
      </c>
      <c r="C93">
        <v>7700136</v>
      </c>
      <c r="D93">
        <v>6357792</v>
      </c>
      <c r="E93">
        <v>1</v>
      </c>
      <c r="F93">
        <v>1</v>
      </c>
      <c r="G93">
        <v>1</v>
      </c>
      <c r="H93">
        <v>3</v>
      </c>
      <c r="I93" t="s">
        <v>386</v>
      </c>
      <c r="J93" t="s">
        <v>387</v>
      </c>
      <c r="K93" t="s">
        <v>388</v>
      </c>
      <c r="L93">
        <v>1356</v>
      </c>
      <c r="N93">
        <v>1010</v>
      </c>
      <c r="O93" t="s">
        <v>389</v>
      </c>
      <c r="P93" t="s">
        <v>389</v>
      </c>
      <c r="Q93">
        <v>1000</v>
      </c>
      <c r="Y93">
        <v>0.02</v>
      </c>
      <c r="AA93">
        <v>0</v>
      </c>
      <c r="AB93">
        <v>0</v>
      </c>
      <c r="AC93">
        <v>0</v>
      </c>
      <c r="AD93">
        <v>0</v>
      </c>
      <c r="AN93">
        <v>0</v>
      </c>
      <c r="AO93">
        <v>1</v>
      </c>
      <c r="AP93">
        <v>0</v>
      </c>
      <c r="AQ93">
        <v>0</v>
      </c>
      <c r="AR93">
        <v>0</v>
      </c>
      <c r="AT93">
        <v>0.02</v>
      </c>
      <c r="AV93">
        <v>0</v>
      </c>
    </row>
    <row r="94" spans="1:48" ht="12.75">
      <c r="A94">
        <f>ROW(Source!A41)</f>
        <v>41</v>
      </c>
      <c r="B94">
        <v>7700162</v>
      </c>
      <c r="C94">
        <v>7700136</v>
      </c>
      <c r="D94">
        <v>6358087</v>
      </c>
      <c r="E94">
        <v>1</v>
      </c>
      <c r="F94">
        <v>1</v>
      </c>
      <c r="G94">
        <v>1</v>
      </c>
      <c r="H94">
        <v>3</v>
      </c>
      <c r="I94" t="s">
        <v>390</v>
      </c>
      <c r="J94" t="s">
        <v>391</v>
      </c>
      <c r="K94" t="s">
        <v>392</v>
      </c>
      <c r="L94">
        <v>1355</v>
      </c>
      <c r="N94">
        <v>1010</v>
      </c>
      <c r="O94" t="s">
        <v>141</v>
      </c>
      <c r="P94" t="s">
        <v>141</v>
      </c>
      <c r="Q94">
        <v>100</v>
      </c>
      <c r="Y94">
        <v>0.41</v>
      </c>
      <c r="AA94">
        <v>142.5</v>
      </c>
      <c r="AB94">
        <v>0</v>
      </c>
      <c r="AC94">
        <v>0</v>
      </c>
      <c r="AD94">
        <v>0</v>
      </c>
      <c r="AN94">
        <v>0</v>
      </c>
      <c r="AO94">
        <v>1</v>
      </c>
      <c r="AP94">
        <v>0</v>
      </c>
      <c r="AQ94">
        <v>0</v>
      </c>
      <c r="AR94">
        <v>0</v>
      </c>
      <c r="AT94">
        <v>0.41</v>
      </c>
      <c r="AV94">
        <v>0</v>
      </c>
    </row>
    <row r="95" spans="1:48" ht="12.75">
      <c r="A95">
        <f>ROW(Source!A41)</f>
        <v>41</v>
      </c>
      <c r="B95">
        <v>7700163</v>
      </c>
      <c r="C95">
        <v>7700136</v>
      </c>
      <c r="D95">
        <v>6358120</v>
      </c>
      <c r="E95">
        <v>1</v>
      </c>
      <c r="F95">
        <v>1</v>
      </c>
      <c r="G95">
        <v>1</v>
      </c>
      <c r="H95">
        <v>3</v>
      </c>
      <c r="I95" t="s">
        <v>393</v>
      </c>
      <c r="J95" t="s">
        <v>394</v>
      </c>
      <c r="K95" t="s">
        <v>395</v>
      </c>
      <c r="L95">
        <v>1308</v>
      </c>
      <c r="N95">
        <v>1003</v>
      </c>
      <c r="O95" t="s">
        <v>60</v>
      </c>
      <c r="P95" t="s">
        <v>60</v>
      </c>
      <c r="Q95">
        <v>100</v>
      </c>
      <c r="Y95">
        <v>0.055</v>
      </c>
      <c r="AA95">
        <v>0</v>
      </c>
      <c r="AB95">
        <v>0</v>
      </c>
      <c r="AC95">
        <v>0</v>
      </c>
      <c r="AD95">
        <v>0</v>
      </c>
      <c r="AN95">
        <v>0</v>
      </c>
      <c r="AO95">
        <v>1</v>
      </c>
      <c r="AP95">
        <v>0</v>
      </c>
      <c r="AQ95">
        <v>0</v>
      </c>
      <c r="AR95">
        <v>0</v>
      </c>
      <c r="AT95">
        <v>0.055</v>
      </c>
      <c r="AV95">
        <v>0</v>
      </c>
    </row>
    <row r="96" spans="1:48" ht="12.75">
      <c r="A96">
        <f>ROW(Source!A41)</f>
        <v>41</v>
      </c>
      <c r="B96">
        <v>7700164</v>
      </c>
      <c r="C96">
        <v>7700136</v>
      </c>
      <c r="D96">
        <v>6358147</v>
      </c>
      <c r="E96">
        <v>1</v>
      </c>
      <c r="F96">
        <v>1</v>
      </c>
      <c r="G96">
        <v>1</v>
      </c>
      <c r="H96">
        <v>3</v>
      </c>
      <c r="I96" t="s">
        <v>413</v>
      </c>
      <c r="J96" t="s">
        <v>414</v>
      </c>
      <c r="K96" t="s">
        <v>415</v>
      </c>
      <c r="L96">
        <v>1355</v>
      </c>
      <c r="N96">
        <v>1010</v>
      </c>
      <c r="O96" t="s">
        <v>141</v>
      </c>
      <c r="P96" t="s">
        <v>141</v>
      </c>
      <c r="Q96">
        <v>100</v>
      </c>
      <c r="Y96">
        <v>0.3</v>
      </c>
      <c r="AA96">
        <v>0</v>
      </c>
      <c r="AB96">
        <v>0</v>
      </c>
      <c r="AC96">
        <v>0</v>
      </c>
      <c r="AD96">
        <v>0</v>
      </c>
      <c r="AN96">
        <v>0</v>
      </c>
      <c r="AO96">
        <v>1</v>
      </c>
      <c r="AP96">
        <v>0</v>
      </c>
      <c r="AQ96">
        <v>0</v>
      </c>
      <c r="AR96">
        <v>0</v>
      </c>
      <c r="AT96">
        <v>0.3</v>
      </c>
      <c r="AV96">
        <v>0</v>
      </c>
    </row>
    <row r="97" spans="1:48" ht="12.75">
      <c r="A97">
        <f>ROW(Source!A41)</f>
        <v>41</v>
      </c>
      <c r="B97">
        <v>7700166</v>
      </c>
      <c r="C97">
        <v>7700136</v>
      </c>
      <c r="D97">
        <v>6359469</v>
      </c>
      <c r="E97">
        <v>1</v>
      </c>
      <c r="F97">
        <v>1</v>
      </c>
      <c r="G97">
        <v>1</v>
      </c>
      <c r="H97">
        <v>3</v>
      </c>
      <c r="I97" t="s">
        <v>81</v>
      </c>
      <c r="J97" t="s">
        <v>83</v>
      </c>
      <c r="K97" t="s">
        <v>82</v>
      </c>
      <c r="L97">
        <v>1477</v>
      </c>
      <c r="N97">
        <v>1013</v>
      </c>
      <c r="O97" t="s">
        <v>65</v>
      </c>
      <c r="P97" t="s">
        <v>67</v>
      </c>
      <c r="Q97">
        <v>1</v>
      </c>
      <c r="Y97">
        <v>0.3</v>
      </c>
      <c r="AA97">
        <v>4047.1</v>
      </c>
      <c r="AB97">
        <v>0</v>
      </c>
      <c r="AC97">
        <v>0</v>
      </c>
      <c r="AD97">
        <v>0</v>
      </c>
      <c r="AN97">
        <v>0</v>
      </c>
      <c r="AO97">
        <v>0</v>
      </c>
      <c r="AP97">
        <v>2</v>
      </c>
      <c r="AQ97">
        <v>0</v>
      </c>
      <c r="AR97">
        <v>0</v>
      </c>
      <c r="AT97">
        <v>0.3</v>
      </c>
      <c r="AV97">
        <v>0</v>
      </c>
    </row>
    <row r="98" spans="1:48" ht="12.75">
      <c r="A98">
        <f>ROW(Source!A41)</f>
        <v>41</v>
      </c>
      <c r="B98">
        <v>7700167</v>
      </c>
      <c r="C98">
        <v>7700136</v>
      </c>
      <c r="D98">
        <v>6359470</v>
      </c>
      <c r="E98">
        <v>1</v>
      </c>
      <c r="F98">
        <v>1</v>
      </c>
      <c r="G98">
        <v>1</v>
      </c>
      <c r="H98">
        <v>3</v>
      </c>
      <c r="I98" t="s">
        <v>85</v>
      </c>
      <c r="J98" t="s">
        <v>87</v>
      </c>
      <c r="K98" t="s">
        <v>86</v>
      </c>
      <c r="L98">
        <v>1477</v>
      </c>
      <c r="N98">
        <v>1013</v>
      </c>
      <c r="O98" t="s">
        <v>65</v>
      </c>
      <c r="P98" t="s">
        <v>67</v>
      </c>
      <c r="Q98">
        <v>1</v>
      </c>
      <c r="Y98">
        <v>0.1</v>
      </c>
      <c r="AA98">
        <v>5076.87</v>
      </c>
      <c r="AB98">
        <v>0</v>
      </c>
      <c r="AC98">
        <v>0</v>
      </c>
      <c r="AD98">
        <v>0</v>
      </c>
      <c r="AN98">
        <v>0</v>
      </c>
      <c r="AO98">
        <v>0</v>
      </c>
      <c r="AP98">
        <v>2</v>
      </c>
      <c r="AQ98">
        <v>0</v>
      </c>
      <c r="AR98">
        <v>0</v>
      </c>
      <c r="AT98">
        <v>0.1</v>
      </c>
      <c r="AV98">
        <v>0</v>
      </c>
    </row>
    <row r="99" spans="1:48" ht="12.75">
      <c r="A99">
        <f>ROW(Source!A41)</f>
        <v>41</v>
      </c>
      <c r="B99">
        <v>7700168</v>
      </c>
      <c r="C99">
        <v>7700136</v>
      </c>
      <c r="D99">
        <v>6359816</v>
      </c>
      <c r="E99">
        <v>1</v>
      </c>
      <c r="F99">
        <v>1</v>
      </c>
      <c r="G99">
        <v>1</v>
      </c>
      <c r="H99">
        <v>3</v>
      </c>
      <c r="I99" t="s">
        <v>89</v>
      </c>
      <c r="J99" t="s">
        <v>91</v>
      </c>
      <c r="K99" t="s">
        <v>90</v>
      </c>
      <c r="L99">
        <v>1477</v>
      </c>
      <c r="N99">
        <v>1013</v>
      </c>
      <c r="O99" t="s">
        <v>65</v>
      </c>
      <c r="P99" t="s">
        <v>67</v>
      </c>
      <c r="Q99">
        <v>1</v>
      </c>
      <c r="Y99">
        <v>0.16666666666666669</v>
      </c>
      <c r="AA99">
        <v>7648.72</v>
      </c>
      <c r="AB99">
        <v>0</v>
      </c>
      <c r="AC99">
        <v>0</v>
      </c>
      <c r="AD99">
        <v>0</v>
      </c>
      <c r="AN99">
        <v>0</v>
      </c>
      <c r="AO99">
        <v>0</v>
      </c>
      <c r="AP99">
        <v>2</v>
      </c>
      <c r="AQ99">
        <v>0</v>
      </c>
      <c r="AR99">
        <v>0</v>
      </c>
      <c r="AT99">
        <v>0.16666666666666669</v>
      </c>
      <c r="AV99">
        <v>0</v>
      </c>
    </row>
    <row r="100" spans="1:48" ht="12.75">
      <c r="A100">
        <f>ROW(Source!A41)</f>
        <v>41</v>
      </c>
      <c r="B100">
        <v>7700170</v>
      </c>
      <c r="C100">
        <v>7700136</v>
      </c>
      <c r="D100">
        <v>6360660</v>
      </c>
      <c r="E100">
        <v>1</v>
      </c>
      <c r="F100">
        <v>1</v>
      </c>
      <c r="G100">
        <v>1</v>
      </c>
      <c r="H100">
        <v>3</v>
      </c>
      <c r="I100" t="s">
        <v>93</v>
      </c>
      <c r="J100" t="s">
        <v>95</v>
      </c>
      <c r="K100" t="s">
        <v>94</v>
      </c>
      <c r="L100">
        <v>1477</v>
      </c>
      <c r="N100">
        <v>1013</v>
      </c>
      <c r="O100" t="s">
        <v>65</v>
      </c>
      <c r="P100" t="s">
        <v>67</v>
      </c>
      <c r="Q100">
        <v>1</v>
      </c>
      <c r="Y100">
        <v>0.6</v>
      </c>
      <c r="AA100">
        <v>888.49</v>
      </c>
      <c r="AB100">
        <v>0</v>
      </c>
      <c r="AC100">
        <v>0</v>
      </c>
      <c r="AD100">
        <v>0</v>
      </c>
      <c r="AN100">
        <v>0</v>
      </c>
      <c r="AO100">
        <v>0</v>
      </c>
      <c r="AP100">
        <v>2</v>
      </c>
      <c r="AQ100">
        <v>0</v>
      </c>
      <c r="AR100">
        <v>0</v>
      </c>
      <c r="AT100">
        <v>0.6</v>
      </c>
      <c r="AV100">
        <v>0</v>
      </c>
    </row>
    <row r="101" spans="1:48" ht="12.75">
      <c r="A101">
        <f>ROW(Source!A41)</f>
        <v>41</v>
      </c>
      <c r="B101">
        <v>7700169</v>
      </c>
      <c r="C101">
        <v>7700136</v>
      </c>
      <c r="D101">
        <v>6360695</v>
      </c>
      <c r="E101">
        <v>1</v>
      </c>
      <c r="F101">
        <v>1</v>
      </c>
      <c r="G101">
        <v>1</v>
      </c>
      <c r="H101">
        <v>3</v>
      </c>
      <c r="I101" t="s">
        <v>63</v>
      </c>
      <c r="J101" t="s">
        <v>66</v>
      </c>
      <c r="K101" t="s">
        <v>64</v>
      </c>
      <c r="L101">
        <v>1477</v>
      </c>
      <c r="N101">
        <v>1013</v>
      </c>
      <c r="O101" t="s">
        <v>65</v>
      </c>
      <c r="P101" t="s">
        <v>67</v>
      </c>
      <c r="Q101">
        <v>1</v>
      </c>
      <c r="Y101">
        <v>0.6</v>
      </c>
      <c r="AA101">
        <v>1154.18</v>
      </c>
      <c r="AB101">
        <v>0</v>
      </c>
      <c r="AC101">
        <v>0</v>
      </c>
      <c r="AD101">
        <v>0</v>
      </c>
      <c r="AN101">
        <v>0</v>
      </c>
      <c r="AO101">
        <v>0</v>
      </c>
      <c r="AP101">
        <v>2</v>
      </c>
      <c r="AQ101">
        <v>0</v>
      </c>
      <c r="AR101">
        <v>0</v>
      </c>
      <c r="AT101">
        <v>0.6</v>
      </c>
      <c r="AV101">
        <v>0</v>
      </c>
    </row>
    <row r="102" spans="1:48" ht="12.75">
      <c r="A102">
        <f>ROW(Source!A41)</f>
        <v>41</v>
      </c>
      <c r="B102">
        <v>7700165</v>
      </c>
      <c r="C102">
        <v>7700136</v>
      </c>
      <c r="D102">
        <v>6365695</v>
      </c>
      <c r="E102">
        <v>1</v>
      </c>
      <c r="F102">
        <v>1</v>
      </c>
      <c r="G102">
        <v>1</v>
      </c>
      <c r="H102">
        <v>3</v>
      </c>
      <c r="I102" t="s">
        <v>416</v>
      </c>
      <c r="J102" t="s">
        <v>417</v>
      </c>
      <c r="K102" t="s">
        <v>418</v>
      </c>
      <c r="L102">
        <v>1346</v>
      </c>
      <c r="N102">
        <v>1009</v>
      </c>
      <c r="O102" t="s">
        <v>306</v>
      </c>
      <c r="P102" t="s">
        <v>306</v>
      </c>
      <c r="Q102">
        <v>1</v>
      </c>
      <c r="Y102">
        <v>0.16</v>
      </c>
      <c r="AA102">
        <v>91.29</v>
      </c>
      <c r="AB102">
        <v>0</v>
      </c>
      <c r="AC102">
        <v>0</v>
      </c>
      <c r="AD102">
        <v>0</v>
      </c>
      <c r="AN102">
        <v>0</v>
      </c>
      <c r="AO102">
        <v>1</v>
      </c>
      <c r="AP102">
        <v>0</v>
      </c>
      <c r="AQ102">
        <v>0</v>
      </c>
      <c r="AR102">
        <v>0</v>
      </c>
      <c r="AT102">
        <v>0.16</v>
      </c>
      <c r="AV102">
        <v>0</v>
      </c>
    </row>
    <row r="103" spans="1:48" ht="12.75">
      <c r="A103">
        <f>ROW(Source!A47)</f>
        <v>47</v>
      </c>
      <c r="B103">
        <v>7700179</v>
      </c>
      <c r="C103">
        <v>7700177</v>
      </c>
      <c r="D103">
        <v>5603250</v>
      </c>
      <c r="E103">
        <v>1</v>
      </c>
      <c r="F103">
        <v>1</v>
      </c>
      <c r="G103">
        <v>1</v>
      </c>
      <c r="H103">
        <v>1</v>
      </c>
      <c r="I103" t="s">
        <v>399</v>
      </c>
      <c r="K103" t="s">
        <v>400</v>
      </c>
      <c r="L103">
        <v>1476</v>
      </c>
      <c r="N103">
        <v>1013</v>
      </c>
      <c r="O103" t="s">
        <v>271</v>
      </c>
      <c r="P103" t="s">
        <v>272</v>
      </c>
      <c r="Q103">
        <v>1</v>
      </c>
      <c r="Y103">
        <v>38.3</v>
      </c>
      <c r="AA103">
        <v>0</v>
      </c>
      <c r="AB103">
        <v>0</v>
      </c>
      <c r="AC103">
        <v>0</v>
      </c>
      <c r="AD103">
        <v>9.39</v>
      </c>
      <c r="AN103">
        <v>0</v>
      </c>
      <c r="AO103">
        <v>1</v>
      </c>
      <c r="AP103">
        <v>0</v>
      </c>
      <c r="AQ103">
        <v>0</v>
      </c>
      <c r="AR103">
        <v>0</v>
      </c>
      <c r="AT103">
        <v>38.3</v>
      </c>
      <c r="AV103">
        <v>1</v>
      </c>
    </row>
    <row r="104" spans="1:48" ht="12.75">
      <c r="A104">
        <f>ROW(Source!A47)</f>
        <v>47</v>
      </c>
      <c r="B104">
        <v>7700180</v>
      </c>
      <c r="C104">
        <v>7700177</v>
      </c>
      <c r="D104">
        <v>121548</v>
      </c>
      <c r="E104">
        <v>1</v>
      </c>
      <c r="F104">
        <v>1</v>
      </c>
      <c r="G104">
        <v>1</v>
      </c>
      <c r="H104">
        <v>1</v>
      </c>
      <c r="I104" t="s">
        <v>24</v>
      </c>
      <c r="K104" t="s">
        <v>273</v>
      </c>
      <c r="L104">
        <v>608254</v>
      </c>
      <c r="N104">
        <v>1013</v>
      </c>
      <c r="O104" t="s">
        <v>274</v>
      </c>
      <c r="P104" t="s">
        <v>274</v>
      </c>
      <c r="Q104">
        <v>1</v>
      </c>
      <c r="Y104">
        <v>0.5</v>
      </c>
      <c r="AA104">
        <v>0</v>
      </c>
      <c r="AB104">
        <v>0</v>
      </c>
      <c r="AC104">
        <v>0</v>
      </c>
      <c r="AD104">
        <v>0</v>
      </c>
      <c r="AN104">
        <v>0</v>
      </c>
      <c r="AO104">
        <v>1</v>
      </c>
      <c r="AP104">
        <v>0</v>
      </c>
      <c r="AQ104">
        <v>0</v>
      </c>
      <c r="AR104">
        <v>0</v>
      </c>
      <c r="AT104">
        <v>0.5</v>
      </c>
      <c r="AV104">
        <v>2</v>
      </c>
    </row>
    <row r="105" spans="1:48" ht="12.75">
      <c r="A105">
        <f>ROW(Source!A47)</f>
        <v>47</v>
      </c>
      <c r="B105">
        <v>7700181</v>
      </c>
      <c r="C105">
        <v>7700177</v>
      </c>
      <c r="D105">
        <v>6298444</v>
      </c>
      <c r="E105">
        <v>1</v>
      </c>
      <c r="F105">
        <v>1</v>
      </c>
      <c r="G105">
        <v>1</v>
      </c>
      <c r="H105">
        <v>2</v>
      </c>
      <c r="I105" t="s">
        <v>275</v>
      </c>
      <c r="J105" t="s">
        <v>276</v>
      </c>
      <c r="K105" t="s">
        <v>277</v>
      </c>
      <c r="L105">
        <v>1480</v>
      </c>
      <c r="N105">
        <v>1013</v>
      </c>
      <c r="O105" t="s">
        <v>278</v>
      </c>
      <c r="P105" t="s">
        <v>279</v>
      </c>
      <c r="Q105">
        <v>1</v>
      </c>
      <c r="Y105">
        <v>0.25</v>
      </c>
      <c r="AA105">
        <v>0</v>
      </c>
      <c r="AB105">
        <v>134.99</v>
      </c>
      <c r="AC105">
        <v>11.81</v>
      </c>
      <c r="AD105">
        <v>0</v>
      </c>
      <c r="AN105">
        <v>0</v>
      </c>
      <c r="AO105">
        <v>1</v>
      </c>
      <c r="AP105">
        <v>0</v>
      </c>
      <c r="AQ105">
        <v>0</v>
      </c>
      <c r="AR105">
        <v>0</v>
      </c>
      <c r="AT105">
        <v>0.25</v>
      </c>
      <c r="AV105">
        <v>0</v>
      </c>
    </row>
    <row r="106" spans="1:48" ht="12.75">
      <c r="A106">
        <f>ROW(Source!A47)</f>
        <v>47</v>
      </c>
      <c r="B106">
        <v>7700182</v>
      </c>
      <c r="C106">
        <v>7700177</v>
      </c>
      <c r="D106">
        <v>6298559</v>
      </c>
      <c r="E106">
        <v>1</v>
      </c>
      <c r="F106">
        <v>1</v>
      </c>
      <c r="G106">
        <v>1</v>
      </c>
      <c r="H106">
        <v>2</v>
      </c>
      <c r="I106" t="s">
        <v>280</v>
      </c>
      <c r="J106" t="s">
        <v>281</v>
      </c>
      <c r="K106" t="s">
        <v>282</v>
      </c>
      <c r="L106">
        <v>1368</v>
      </c>
      <c r="N106">
        <v>1011</v>
      </c>
      <c r="O106" t="s">
        <v>283</v>
      </c>
      <c r="P106" t="s">
        <v>283</v>
      </c>
      <c r="Q106">
        <v>1</v>
      </c>
      <c r="Y106">
        <v>6.18</v>
      </c>
      <c r="AA106">
        <v>0</v>
      </c>
      <c r="AB106">
        <v>2.94</v>
      </c>
      <c r="AC106">
        <v>0</v>
      </c>
      <c r="AD106">
        <v>0</v>
      </c>
      <c r="AN106">
        <v>0</v>
      </c>
      <c r="AO106">
        <v>1</v>
      </c>
      <c r="AP106">
        <v>0</v>
      </c>
      <c r="AQ106">
        <v>0</v>
      </c>
      <c r="AR106">
        <v>0</v>
      </c>
      <c r="AT106">
        <v>6.18</v>
      </c>
      <c r="AV106">
        <v>0</v>
      </c>
    </row>
    <row r="107" spans="1:48" ht="12.75">
      <c r="A107">
        <f>ROW(Source!A47)</f>
        <v>47</v>
      </c>
      <c r="B107">
        <v>7700183</v>
      </c>
      <c r="C107">
        <v>7700177</v>
      </c>
      <c r="D107">
        <v>6300327</v>
      </c>
      <c r="E107">
        <v>1</v>
      </c>
      <c r="F107">
        <v>1</v>
      </c>
      <c r="G107">
        <v>1</v>
      </c>
      <c r="H107">
        <v>2</v>
      </c>
      <c r="I107" t="s">
        <v>419</v>
      </c>
      <c r="J107" t="s">
        <v>322</v>
      </c>
      <c r="K107" t="s">
        <v>420</v>
      </c>
      <c r="L107">
        <v>1368</v>
      </c>
      <c r="N107">
        <v>1011</v>
      </c>
      <c r="O107" t="s">
        <v>283</v>
      </c>
      <c r="P107" t="s">
        <v>283</v>
      </c>
      <c r="Q107">
        <v>1</v>
      </c>
      <c r="Y107">
        <v>6.11</v>
      </c>
      <c r="AA107">
        <v>0</v>
      </c>
      <c r="AB107">
        <v>2.95</v>
      </c>
      <c r="AC107">
        <v>0</v>
      </c>
      <c r="AD107">
        <v>0</v>
      </c>
      <c r="AN107">
        <v>0</v>
      </c>
      <c r="AO107">
        <v>1</v>
      </c>
      <c r="AP107">
        <v>0</v>
      </c>
      <c r="AQ107">
        <v>0</v>
      </c>
      <c r="AR107">
        <v>0</v>
      </c>
      <c r="AT107">
        <v>6.11</v>
      </c>
      <c r="AV107">
        <v>0</v>
      </c>
    </row>
    <row r="108" spans="1:48" ht="12.75">
      <c r="A108">
        <f>ROW(Source!A47)</f>
        <v>47</v>
      </c>
      <c r="B108">
        <v>7700184</v>
      </c>
      <c r="C108">
        <v>7700177</v>
      </c>
      <c r="D108">
        <v>6300746</v>
      </c>
      <c r="E108">
        <v>1</v>
      </c>
      <c r="F108">
        <v>1</v>
      </c>
      <c r="G108">
        <v>1</v>
      </c>
      <c r="H108">
        <v>2</v>
      </c>
      <c r="I108" t="s">
        <v>374</v>
      </c>
      <c r="J108" t="s">
        <v>375</v>
      </c>
      <c r="K108" t="s">
        <v>376</v>
      </c>
      <c r="L108">
        <v>1368</v>
      </c>
      <c r="N108">
        <v>1011</v>
      </c>
      <c r="O108" t="s">
        <v>283</v>
      </c>
      <c r="P108" t="s">
        <v>283</v>
      </c>
      <c r="Q108">
        <v>1</v>
      </c>
      <c r="Y108">
        <v>0.25</v>
      </c>
      <c r="AA108">
        <v>0</v>
      </c>
      <c r="AB108">
        <v>70.53</v>
      </c>
      <c r="AC108">
        <v>33.66</v>
      </c>
      <c r="AD108">
        <v>0</v>
      </c>
      <c r="AN108">
        <v>0</v>
      </c>
      <c r="AO108">
        <v>1</v>
      </c>
      <c r="AP108">
        <v>0</v>
      </c>
      <c r="AQ108">
        <v>0</v>
      </c>
      <c r="AR108">
        <v>0</v>
      </c>
      <c r="AT108">
        <v>0.25</v>
      </c>
      <c r="AV108">
        <v>0</v>
      </c>
    </row>
    <row r="109" spans="1:48" ht="12.75">
      <c r="A109">
        <f>ROW(Source!A47)</f>
        <v>47</v>
      </c>
      <c r="B109">
        <v>7700185</v>
      </c>
      <c r="C109">
        <v>7700177</v>
      </c>
      <c r="D109">
        <v>6330651</v>
      </c>
      <c r="E109">
        <v>1</v>
      </c>
      <c r="F109">
        <v>1</v>
      </c>
      <c r="G109">
        <v>1</v>
      </c>
      <c r="H109">
        <v>3</v>
      </c>
      <c r="I109" t="s">
        <v>421</v>
      </c>
      <c r="J109" t="s">
        <v>422</v>
      </c>
      <c r="K109" t="s">
        <v>423</v>
      </c>
      <c r="L109">
        <v>1348</v>
      </c>
      <c r="N109">
        <v>1009</v>
      </c>
      <c r="O109" t="s">
        <v>293</v>
      </c>
      <c r="P109" t="s">
        <v>293</v>
      </c>
      <c r="Q109">
        <v>1000</v>
      </c>
      <c r="Y109">
        <v>0.00058</v>
      </c>
      <c r="AA109">
        <v>17546.81</v>
      </c>
      <c r="AB109">
        <v>0</v>
      </c>
      <c r="AC109">
        <v>0</v>
      </c>
      <c r="AD109">
        <v>0</v>
      </c>
      <c r="AN109">
        <v>0</v>
      </c>
      <c r="AO109">
        <v>1</v>
      </c>
      <c r="AP109">
        <v>0</v>
      </c>
      <c r="AQ109">
        <v>0</v>
      </c>
      <c r="AR109">
        <v>0</v>
      </c>
      <c r="AT109">
        <v>0.00058</v>
      </c>
      <c r="AV109">
        <v>0</v>
      </c>
    </row>
    <row r="110" spans="1:48" ht="12.75">
      <c r="A110">
        <f>ROW(Source!A47)</f>
        <v>47</v>
      </c>
      <c r="B110">
        <v>7700186</v>
      </c>
      <c r="C110">
        <v>7700177</v>
      </c>
      <c r="D110">
        <v>6332387</v>
      </c>
      <c r="E110">
        <v>1</v>
      </c>
      <c r="F110">
        <v>1</v>
      </c>
      <c r="G110">
        <v>1</v>
      </c>
      <c r="H110">
        <v>3</v>
      </c>
      <c r="I110" t="s">
        <v>404</v>
      </c>
      <c r="J110" t="s">
        <v>405</v>
      </c>
      <c r="K110" t="s">
        <v>406</v>
      </c>
      <c r="L110">
        <v>1346</v>
      </c>
      <c r="N110">
        <v>1009</v>
      </c>
      <c r="O110" t="s">
        <v>306</v>
      </c>
      <c r="P110" t="s">
        <v>306</v>
      </c>
      <c r="Q110">
        <v>1</v>
      </c>
      <c r="Y110">
        <v>3</v>
      </c>
      <c r="AA110">
        <v>9.45</v>
      </c>
      <c r="AB110">
        <v>0</v>
      </c>
      <c r="AC110">
        <v>0</v>
      </c>
      <c r="AD110">
        <v>0</v>
      </c>
      <c r="AN110">
        <v>0</v>
      </c>
      <c r="AO110">
        <v>1</v>
      </c>
      <c r="AP110">
        <v>0</v>
      </c>
      <c r="AQ110">
        <v>0</v>
      </c>
      <c r="AR110">
        <v>0</v>
      </c>
      <c r="AT110">
        <v>3</v>
      </c>
      <c r="AV110">
        <v>0</v>
      </c>
    </row>
    <row r="111" spans="1:48" ht="12.75">
      <c r="A111">
        <f>ROW(Source!A47)</f>
        <v>47</v>
      </c>
      <c r="B111">
        <v>7700187</v>
      </c>
      <c r="C111">
        <v>7700177</v>
      </c>
      <c r="D111">
        <v>6333904</v>
      </c>
      <c r="E111">
        <v>1</v>
      </c>
      <c r="F111">
        <v>1</v>
      </c>
      <c r="G111">
        <v>1</v>
      </c>
      <c r="H111">
        <v>3</v>
      </c>
      <c r="I111" t="s">
        <v>407</v>
      </c>
      <c r="J111" t="s">
        <v>408</v>
      </c>
      <c r="K111" t="s">
        <v>409</v>
      </c>
      <c r="L111">
        <v>1346</v>
      </c>
      <c r="N111">
        <v>1009</v>
      </c>
      <c r="O111" t="s">
        <v>306</v>
      </c>
      <c r="P111" t="s">
        <v>306</v>
      </c>
      <c r="Q111">
        <v>1</v>
      </c>
      <c r="Y111">
        <v>0.1</v>
      </c>
      <c r="AA111">
        <v>12.6</v>
      </c>
      <c r="AB111">
        <v>0</v>
      </c>
      <c r="AC111">
        <v>0</v>
      </c>
      <c r="AD111">
        <v>0</v>
      </c>
      <c r="AN111">
        <v>0</v>
      </c>
      <c r="AO111">
        <v>1</v>
      </c>
      <c r="AP111">
        <v>0</v>
      </c>
      <c r="AQ111">
        <v>0</v>
      </c>
      <c r="AR111">
        <v>0</v>
      </c>
      <c r="AT111">
        <v>0.1</v>
      </c>
      <c r="AV111">
        <v>0</v>
      </c>
    </row>
    <row r="112" spans="1:48" ht="12.75">
      <c r="A112">
        <f>ROW(Source!A47)</f>
        <v>47</v>
      </c>
      <c r="B112">
        <v>7700188</v>
      </c>
      <c r="C112">
        <v>7700177</v>
      </c>
      <c r="D112">
        <v>6357975</v>
      </c>
      <c r="E112">
        <v>1</v>
      </c>
      <c r="F112">
        <v>1</v>
      </c>
      <c r="G112">
        <v>1</v>
      </c>
      <c r="H112">
        <v>3</v>
      </c>
      <c r="I112" t="s">
        <v>424</v>
      </c>
      <c r="J112" t="s">
        <v>425</v>
      </c>
      <c r="K112" t="s">
        <v>426</v>
      </c>
      <c r="L112">
        <v>1346</v>
      </c>
      <c r="N112">
        <v>1009</v>
      </c>
      <c r="O112" t="s">
        <v>306</v>
      </c>
      <c r="P112" t="s">
        <v>306</v>
      </c>
      <c r="Q112">
        <v>1</v>
      </c>
      <c r="Y112">
        <v>0.55</v>
      </c>
      <c r="AA112">
        <v>0</v>
      </c>
      <c r="AB112">
        <v>0</v>
      </c>
      <c r="AC112">
        <v>0</v>
      </c>
      <c r="AD112">
        <v>0</v>
      </c>
      <c r="AN112">
        <v>0</v>
      </c>
      <c r="AO112">
        <v>1</v>
      </c>
      <c r="AP112">
        <v>0</v>
      </c>
      <c r="AQ112">
        <v>0</v>
      </c>
      <c r="AR112">
        <v>0</v>
      </c>
      <c r="AT112">
        <v>0.55</v>
      </c>
      <c r="AV112">
        <v>0</v>
      </c>
    </row>
    <row r="113" spans="1:48" ht="12.75">
      <c r="A113">
        <f>ROW(Source!A47)</f>
        <v>47</v>
      </c>
      <c r="B113">
        <v>7700189</v>
      </c>
      <c r="C113">
        <v>7700177</v>
      </c>
      <c r="D113">
        <v>6358082</v>
      </c>
      <c r="E113">
        <v>1</v>
      </c>
      <c r="F113">
        <v>1</v>
      </c>
      <c r="G113">
        <v>1</v>
      </c>
      <c r="H113">
        <v>3</v>
      </c>
      <c r="I113" t="s">
        <v>427</v>
      </c>
      <c r="J113" t="s">
        <v>428</v>
      </c>
      <c r="K113" t="s">
        <v>429</v>
      </c>
      <c r="L113">
        <v>1354</v>
      </c>
      <c r="N113">
        <v>1010</v>
      </c>
      <c r="O113" t="s">
        <v>20</v>
      </c>
      <c r="P113" t="s">
        <v>20</v>
      </c>
      <c r="Q113">
        <v>1</v>
      </c>
      <c r="Y113">
        <v>220</v>
      </c>
      <c r="AA113">
        <v>0</v>
      </c>
      <c r="AB113">
        <v>0</v>
      </c>
      <c r="AC113">
        <v>0</v>
      </c>
      <c r="AD113">
        <v>0</v>
      </c>
      <c r="AN113">
        <v>0</v>
      </c>
      <c r="AO113">
        <v>1</v>
      </c>
      <c r="AP113">
        <v>0</v>
      </c>
      <c r="AQ113">
        <v>0</v>
      </c>
      <c r="AR113">
        <v>0</v>
      </c>
      <c r="AT113">
        <v>220</v>
      </c>
      <c r="AV113">
        <v>0</v>
      </c>
    </row>
    <row r="114" spans="1:48" ht="12.75">
      <c r="A114">
        <f>ROW(Source!A47)</f>
        <v>47</v>
      </c>
      <c r="B114">
        <v>7700190</v>
      </c>
      <c r="C114">
        <v>7700177</v>
      </c>
      <c r="D114">
        <v>6358087</v>
      </c>
      <c r="E114">
        <v>1</v>
      </c>
      <c r="F114">
        <v>1</v>
      </c>
      <c r="G114">
        <v>1</v>
      </c>
      <c r="H114">
        <v>3</v>
      </c>
      <c r="I114" t="s">
        <v>390</v>
      </c>
      <c r="J114" t="s">
        <v>391</v>
      </c>
      <c r="K114" t="s">
        <v>392</v>
      </c>
      <c r="L114">
        <v>1355</v>
      </c>
      <c r="N114">
        <v>1010</v>
      </c>
      <c r="O114" t="s">
        <v>141</v>
      </c>
      <c r="P114" t="s">
        <v>141</v>
      </c>
      <c r="Q114">
        <v>100</v>
      </c>
      <c r="Y114">
        <v>0.1</v>
      </c>
      <c r="AA114">
        <v>142.5</v>
      </c>
      <c r="AB114">
        <v>0</v>
      </c>
      <c r="AC114">
        <v>0</v>
      </c>
      <c r="AD114">
        <v>0</v>
      </c>
      <c r="AN114">
        <v>0</v>
      </c>
      <c r="AO114">
        <v>1</v>
      </c>
      <c r="AP114">
        <v>0</v>
      </c>
      <c r="AQ114">
        <v>0</v>
      </c>
      <c r="AR114">
        <v>0</v>
      </c>
      <c r="AT114">
        <v>0.1</v>
      </c>
      <c r="AV114">
        <v>0</v>
      </c>
    </row>
    <row r="115" spans="1:48" ht="12.75">
      <c r="A115">
        <f>ROW(Source!A47)</f>
        <v>47</v>
      </c>
      <c r="B115">
        <v>7700191</v>
      </c>
      <c r="C115">
        <v>7700177</v>
      </c>
      <c r="D115">
        <v>6358147</v>
      </c>
      <c r="E115">
        <v>1</v>
      </c>
      <c r="F115">
        <v>1</v>
      </c>
      <c r="G115">
        <v>1</v>
      </c>
      <c r="H115">
        <v>3</v>
      </c>
      <c r="I115" t="s">
        <v>413</v>
      </c>
      <c r="J115" t="s">
        <v>414</v>
      </c>
      <c r="K115" t="s">
        <v>415</v>
      </c>
      <c r="L115">
        <v>1355</v>
      </c>
      <c r="N115">
        <v>1010</v>
      </c>
      <c r="O115" t="s">
        <v>141</v>
      </c>
      <c r="P115" t="s">
        <v>141</v>
      </c>
      <c r="Q115">
        <v>100</v>
      </c>
      <c r="Y115">
        <v>2.2</v>
      </c>
      <c r="AA115">
        <v>0</v>
      </c>
      <c r="AB115">
        <v>0</v>
      </c>
      <c r="AC115">
        <v>0</v>
      </c>
      <c r="AD115">
        <v>0</v>
      </c>
      <c r="AN115">
        <v>0</v>
      </c>
      <c r="AO115">
        <v>1</v>
      </c>
      <c r="AP115">
        <v>0</v>
      </c>
      <c r="AQ115">
        <v>0</v>
      </c>
      <c r="AR115">
        <v>0</v>
      </c>
      <c r="AT115">
        <v>2.2</v>
      </c>
      <c r="AV115">
        <v>0</v>
      </c>
    </row>
    <row r="116" spans="1:48" ht="12.75">
      <c r="A116">
        <f>ROW(Source!A48)</f>
        <v>48</v>
      </c>
      <c r="B116">
        <v>7700194</v>
      </c>
      <c r="C116">
        <v>7700192</v>
      </c>
      <c r="D116">
        <v>5608703</v>
      </c>
      <c r="E116">
        <v>1</v>
      </c>
      <c r="F116">
        <v>1</v>
      </c>
      <c r="G116">
        <v>1</v>
      </c>
      <c r="H116">
        <v>1</v>
      </c>
      <c r="I116" t="s">
        <v>366</v>
      </c>
      <c r="K116" t="s">
        <v>367</v>
      </c>
      <c r="L116">
        <v>1476</v>
      </c>
      <c r="N116">
        <v>1013</v>
      </c>
      <c r="O116" t="s">
        <v>271</v>
      </c>
      <c r="P116" t="s">
        <v>272</v>
      </c>
      <c r="Q116">
        <v>1</v>
      </c>
      <c r="Y116">
        <v>388</v>
      </c>
      <c r="AA116">
        <v>0</v>
      </c>
      <c r="AB116">
        <v>0</v>
      </c>
      <c r="AC116">
        <v>0</v>
      </c>
      <c r="AD116">
        <v>9.61</v>
      </c>
      <c r="AN116">
        <v>0</v>
      </c>
      <c r="AO116">
        <v>1</v>
      </c>
      <c r="AP116">
        <v>0</v>
      </c>
      <c r="AQ116">
        <v>0</v>
      </c>
      <c r="AR116">
        <v>0</v>
      </c>
      <c r="AT116">
        <v>388</v>
      </c>
      <c r="AV116">
        <v>1</v>
      </c>
    </row>
    <row r="117" spans="1:48" ht="12.75">
      <c r="A117">
        <f>ROW(Source!A48)</f>
        <v>48</v>
      </c>
      <c r="B117">
        <v>7700195</v>
      </c>
      <c r="C117">
        <v>7700192</v>
      </c>
      <c r="D117">
        <v>121548</v>
      </c>
      <c r="E117">
        <v>1</v>
      </c>
      <c r="F117">
        <v>1</v>
      </c>
      <c r="G117">
        <v>1</v>
      </c>
      <c r="H117">
        <v>1</v>
      </c>
      <c r="I117" t="s">
        <v>24</v>
      </c>
      <c r="K117" t="s">
        <v>273</v>
      </c>
      <c r="L117">
        <v>608254</v>
      </c>
      <c r="N117">
        <v>1013</v>
      </c>
      <c r="O117" t="s">
        <v>274</v>
      </c>
      <c r="P117" t="s">
        <v>274</v>
      </c>
      <c r="Q117">
        <v>1</v>
      </c>
      <c r="Y117">
        <v>128.74</v>
      </c>
      <c r="AA117">
        <v>0</v>
      </c>
      <c r="AB117">
        <v>0</v>
      </c>
      <c r="AC117">
        <v>0</v>
      </c>
      <c r="AD117">
        <v>0</v>
      </c>
      <c r="AN117">
        <v>0</v>
      </c>
      <c r="AO117">
        <v>1</v>
      </c>
      <c r="AP117">
        <v>0</v>
      </c>
      <c r="AQ117">
        <v>0</v>
      </c>
      <c r="AR117">
        <v>0</v>
      </c>
      <c r="AT117">
        <v>128.74</v>
      </c>
      <c r="AV117">
        <v>2</v>
      </c>
    </row>
    <row r="118" spans="1:48" ht="12.75">
      <c r="A118">
        <f>ROW(Source!A48)</f>
        <v>48</v>
      </c>
      <c r="B118">
        <v>7700196</v>
      </c>
      <c r="C118">
        <v>7700192</v>
      </c>
      <c r="D118">
        <v>6298444</v>
      </c>
      <c r="E118">
        <v>1</v>
      </c>
      <c r="F118">
        <v>1</v>
      </c>
      <c r="G118">
        <v>1</v>
      </c>
      <c r="H118">
        <v>2</v>
      </c>
      <c r="I118" t="s">
        <v>275</v>
      </c>
      <c r="J118" t="s">
        <v>276</v>
      </c>
      <c r="K118" t="s">
        <v>277</v>
      </c>
      <c r="L118">
        <v>1480</v>
      </c>
      <c r="N118">
        <v>1013</v>
      </c>
      <c r="O118" t="s">
        <v>278</v>
      </c>
      <c r="P118" t="s">
        <v>279</v>
      </c>
      <c r="Q118">
        <v>1</v>
      </c>
      <c r="Y118">
        <v>0.55</v>
      </c>
      <c r="AA118">
        <v>0</v>
      </c>
      <c r="AB118">
        <v>134.99</v>
      </c>
      <c r="AC118">
        <v>11.81</v>
      </c>
      <c r="AD118">
        <v>0</v>
      </c>
      <c r="AN118">
        <v>0</v>
      </c>
      <c r="AO118">
        <v>1</v>
      </c>
      <c r="AP118">
        <v>0</v>
      </c>
      <c r="AQ118">
        <v>0</v>
      </c>
      <c r="AR118">
        <v>0</v>
      </c>
      <c r="AT118">
        <v>0.55</v>
      </c>
      <c r="AV118">
        <v>0</v>
      </c>
    </row>
    <row r="119" spans="1:48" ht="12.75">
      <c r="A119">
        <f>ROW(Source!A48)</f>
        <v>48</v>
      </c>
      <c r="B119">
        <v>7700197</v>
      </c>
      <c r="C119">
        <v>7700192</v>
      </c>
      <c r="D119">
        <v>6298761</v>
      </c>
      <c r="E119">
        <v>1</v>
      </c>
      <c r="F119">
        <v>1</v>
      </c>
      <c r="G119">
        <v>1</v>
      </c>
      <c r="H119">
        <v>2</v>
      </c>
      <c r="I119" t="s">
        <v>430</v>
      </c>
      <c r="J119" t="s">
        <v>431</v>
      </c>
      <c r="K119" t="s">
        <v>432</v>
      </c>
      <c r="L119">
        <v>1480</v>
      </c>
      <c r="N119">
        <v>1013</v>
      </c>
      <c r="O119" t="s">
        <v>278</v>
      </c>
      <c r="P119" t="s">
        <v>279</v>
      </c>
      <c r="Q119">
        <v>1</v>
      </c>
      <c r="Y119">
        <v>8.12</v>
      </c>
      <c r="AA119">
        <v>0</v>
      </c>
      <c r="AB119">
        <v>50.12</v>
      </c>
      <c r="AC119">
        <v>11.81</v>
      </c>
      <c r="AD119">
        <v>0</v>
      </c>
      <c r="AN119">
        <v>0</v>
      </c>
      <c r="AO119">
        <v>1</v>
      </c>
      <c r="AP119">
        <v>0</v>
      </c>
      <c r="AQ119">
        <v>0</v>
      </c>
      <c r="AR119">
        <v>0</v>
      </c>
      <c r="AT119">
        <v>8.12</v>
      </c>
      <c r="AV119">
        <v>0</v>
      </c>
    </row>
    <row r="120" spans="1:48" ht="12.75">
      <c r="A120">
        <f>ROW(Source!A48)</f>
        <v>48</v>
      </c>
      <c r="B120">
        <v>7700198</v>
      </c>
      <c r="C120">
        <v>7700192</v>
      </c>
      <c r="D120">
        <v>6299577</v>
      </c>
      <c r="E120">
        <v>1</v>
      </c>
      <c r="F120">
        <v>1</v>
      </c>
      <c r="G120">
        <v>1</v>
      </c>
      <c r="H120">
        <v>2</v>
      </c>
      <c r="I120" t="s">
        <v>433</v>
      </c>
      <c r="J120" t="s">
        <v>434</v>
      </c>
      <c r="K120" t="s">
        <v>435</v>
      </c>
      <c r="L120">
        <v>1368</v>
      </c>
      <c r="N120">
        <v>1011</v>
      </c>
      <c r="O120" t="s">
        <v>283</v>
      </c>
      <c r="P120" t="s">
        <v>283</v>
      </c>
      <c r="Q120">
        <v>1</v>
      </c>
      <c r="Y120">
        <v>41.76</v>
      </c>
      <c r="AA120">
        <v>0</v>
      </c>
      <c r="AB120">
        <v>74.53</v>
      </c>
      <c r="AC120">
        <v>11.81</v>
      </c>
      <c r="AD120">
        <v>0</v>
      </c>
      <c r="AN120">
        <v>0</v>
      </c>
      <c r="AO120">
        <v>1</v>
      </c>
      <c r="AP120">
        <v>0</v>
      </c>
      <c r="AQ120">
        <v>0</v>
      </c>
      <c r="AR120">
        <v>0</v>
      </c>
      <c r="AT120">
        <v>41.76</v>
      </c>
      <c r="AV120">
        <v>0</v>
      </c>
    </row>
    <row r="121" spans="1:48" ht="12.75">
      <c r="A121">
        <f>ROW(Source!A48)</f>
        <v>48</v>
      </c>
      <c r="B121">
        <v>7700199</v>
      </c>
      <c r="C121">
        <v>7700192</v>
      </c>
      <c r="D121">
        <v>6300359</v>
      </c>
      <c r="E121">
        <v>1</v>
      </c>
      <c r="F121">
        <v>1</v>
      </c>
      <c r="G121">
        <v>1</v>
      </c>
      <c r="H121">
        <v>2</v>
      </c>
      <c r="I121" t="s">
        <v>436</v>
      </c>
      <c r="J121" t="s">
        <v>285</v>
      </c>
      <c r="K121" t="s">
        <v>437</v>
      </c>
      <c r="L121">
        <v>1480</v>
      </c>
      <c r="N121">
        <v>1013</v>
      </c>
      <c r="O121" t="s">
        <v>278</v>
      </c>
      <c r="P121" t="s">
        <v>279</v>
      </c>
      <c r="Q121">
        <v>1</v>
      </c>
      <c r="Y121">
        <v>36</v>
      </c>
      <c r="AA121">
        <v>0</v>
      </c>
      <c r="AB121">
        <v>36.35</v>
      </c>
      <c r="AC121">
        <v>11.81</v>
      </c>
      <c r="AD121">
        <v>0</v>
      </c>
      <c r="AN121">
        <v>0</v>
      </c>
      <c r="AO121">
        <v>1</v>
      </c>
      <c r="AP121">
        <v>0</v>
      </c>
      <c r="AQ121">
        <v>0</v>
      </c>
      <c r="AR121">
        <v>0</v>
      </c>
      <c r="AT121">
        <v>36</v>
      </c>
      <c r="AV121">
        <v>0</v>
      </c>
    </row>
    <row r="122" spans="1:48" ht="12.75">
      <c r="A122">
        <f>ROW(Source!A48)</f>
        <v>48</v>
      </c>
      <c r="B122">
        <v>7700200</v>
      </c>
      <c r="C122">
        <v>7700192</v>
      </c>
      <c r="D122">
        <v>6300360</v>
      </c>
      <c r="E122">
        <v>1</v>
      </c>
      <c r="F122">
        <v>1</v>
      </c>
      <c r="G122">
        <v>1</v>
      </c>
      <c r="H122">
        <v>2</v>
      </c>
      <c r="I122" t="s">
        <v>438</v>
      </c>
      <c r="J122" t="s">
        <v>285</v>
      </c>
      <c r="K122" t="s">
        <v>439</v>
      </c>
      <c r="L122">
        <v>1480</v>
      </c>
      <c r="N122">
        <v>1013</v>
      </c>
      <c r="O122" t="s">
        <v>278</v>
      </c>
      <c r="P122" t="s">
        <v>279</v>
      </c>
      <c r="Q122">
        <v>1</v>
      </c>
      <c r="Y122">
        <v>41.76</v>
      </c>
      <c r="AA122">
        <v>0</v>
      </c>
      <c r="AB122">
        <v>22.97</v>
      </c>
      <c r="AC122">
        <v>11.81</v>
      </c>
      <c r="AD122">
        <v>0</v>
      </c>
      <c r="AN122">
        <v>0</v>
      </c>
      <c r="AO122">
        <v>1</v>
      </c>
      <c r="AP122">
        <v>0</v>
      </c>
      <c r="AQ122">
        <v>0</v>
      </c>
      <c r="AR122">
        <v>0</v>
      </c>
      <c r="AT122">
        <v>41.76</v>
      </c>
      <c r="AV122">
        <v>0</v>
      </c>
    </row>
    <row r="123" spans="1:48" ht="12.75">
      <c r="A123">
        <f>ROW(Source!A48)</f>
        <v>48</v>
      </c>
      <c r="B123">
        <v>7700201</v>
      </c>
      <c r="C123">
        <v>7700192</v>
      </c>
      <c r="D123">
        <v>6300501</v>
      </c>
      <c r="E123">
        <v>1</v>
      </c>
      <c r="F123">
        <v>1</v>
      </c>
      <c r="G123">
        <v>1</v>
      </c>
      <c r="H123">
        <v>2</v>
      </c>
      <c r="I123" t="s">
        <v>440</v>
      </c>
      <c r="J123" t="s">
        <v>330</v>
      </c>
      <c r="K123" t="s">
        <v>441</v>
      </c>
      <c r="L123">
        <v>1480</v>
      </c>
      <c r="N123">
        <v>1013</v>
      </c>
      <c r="O123" t="s">
        <v>278</v>
      </c>
      <c r="P123" t="s">
        <v>279</v>
      </c>
      <c r="Q123">
        <v>1</v>
      </c>
      <c r="Y123">
        <v>29</v>
      </c>
      <c r="AA123">
        <v>0</v>
      </c>
      <c r="AB123">
        <v>1.33</v>
      </c>
      <c r="AC123">
        <v>0</v>
      </c>
      <c r="AD123">
        <v>0</v>
      </c>
      <c r="AN123">
        <v>0</v>
      </c>
      <c r="AO123">
        <v>1</v>
      </c>
      <c r="AP123">
        <v>0</v>
      </c>
      <c r="AQ123">
        <v>0</v>
      </c>
      <c r="AR123">
        <v>0</v>
      </c>
      <c r="AT123">
        <v>29</v>
      </c>
      <c r="AV123">
        <v>0</v>
      </c>
    </row>
    <row r="124" spans="1:48" ht="12.75">
      <c r="A124">
        <f>ROW(Source!A48)</f>
        <v>48</v>
      </c>
      <c r="B124">
        <v>7700202</v>
      </c>
      <c r="C124">
        <v>7700192</v>
      </c>
      <c r="D124">
        <v>6300745</v>
      </c>
      <c r="E124">
        <v>1</v>
      </c>
      <c r="F124">
        <v>1</v>
      </c>
      <c r="G124">
        <v>1</v>
      </c>
      <c r="H124">
        <v>2</v>
      </c>
      <c r="I124" t="s">
        <v>287</v>
      </c>
      <c r="J124" t="s">
        <v>288</v>
      </c>
      <c r="K124" t="s">
        <v>289</v>
      </c>
      <c r="L124">
        <v>1368</v>
      </c>
      <c r="N124">
        <v>1011</v>
      </c>
      <c r="O124" t="s">
        <v>283</v>
      </c>
      <c r="P124" t="s">
        <v>283</v>
      </c>
      <c r="Q124">
        <v>1</v>
      </c>
      <c r="Y124">
        <v>0.55</v>
      </c>
      <c r="AA124">
        <v>0</v>
      </c>
      <c r="AB124">
        <v>60.77</v>
      </c>
      <c r="AC124">
        <v>11.81</v>
      </c>
      <c r="AD124">
        <v>0</v>
      </c>
      <c r="AN124">
        <v>0</v>
      </c>
      <c r="AO124">
        <v>1</v>
      </c>
      <c r="AP124">
        <v>0</v>
      </c>
      <c r="AQ124">
        <v>0</v>
      </c>
      <c r="AR124">
        <v>0</v>
      </c>
      <c r="AT124">
        <v>0.55</v>
      </c>
      <c r="AV124">
        <v>0</v>
      </c>
    </row>
    <row r="125" spans="1:48" ht="12.75">
      <c r="A125">
        <f>ROW(Source!A48)</f>
        <v>48</v>
      </c>
      <c r="B125">
        <v>7700203</v>
      </c>
      <c r="C125">
        <v>7700192</v>
      </c>
      <c r="D125">
        <v>6330627</v>
      </c>
      <c r="E125">
        <v>1</v>
      </c>
      <c r="F125">
        <v>1</v>
      </c>
      <c r="G125">
        <v>1</v>
      </c>
      <c r="H125">
        <v>3</v>
      </c>
      <c r="I125" t="s">
        <v>442</v>
      </c>
      <c r="J125" t="s">
        <v>443</v>
      </c>
      <c r="K125" t="s">
        <v>444</v>
      </c>
      <c r="L125">
        <v>1348</v>
      </c>
      <c r="N125">
        <v>1009</v>
      </c>
      <c r="O125" t="s">
        <v>293</v>
      </c>
      <c r="P125" t="s">
        <v>293</v>
      </c>
      <c r="Q125">
        <v>1000</v>
      </c>
      <c r="Y125">
        <v>0.00227</v>
      </c>
      <c r="AA125">
        <v>9346.05</v>
      </c>
      <c r="AB125">
        <v>0</v>
      </c>
      <c r="AC125">
        <v>0</v>
      </c>
      <c r="AD125">
        <v>0</v>
      </c>
      <c r="AN125">
        <v>0</v>
      </c>
      <c r="AO125">
        <v>1</v>
      </c>
      <c r="AP125">
        <v>0</v>
      </c>
      <c r="AQ125">
        <v>0</v>
      </c>
      <c r="AR125">
        <v>0</v>
      </c>
      <c r="AT125">
        <v>0.00227</v>
      </c>
      <c r="AV125">
        <v>0</v>
      </c>
    </row>
    <row r="126" spans="1:48" ht="12.75">
      <c r="A126">
        <f>ROW(Source!A48)</f>
        <v>48</v>
      </c>
      <c r="B126">
        <v>7700204</v>
      </c>
      <c r="C126">
        <v>7700192</v>
      </c>
      <c r="D126">
        <v>6331343</v>
      </c>
      <c r="E126">
        <v>1</v>
      </c>
      <c r="F126">
        <v>1</v>
      </c>
      <c r="G126">
        <v>1</v>
      </c>
      <c r="H126">
        <v>3</v>
      </c>
      <c r="I126" t="s">
        <v>445</v>
      </c>
      <c r="J126" t="s">
        <v>446</v>
      </c>
      <c r="K126" t="s">
        <v>447</v>
      </c>
      <c r="L126">
        <v>1348</v>
      </c>
      <c r="N126">
        <v>1009</v>
      </c>
      <c r="O126" t="s">
        <v>293</v>
      </c>
      <c r="P126" t="s">
        <v>293</v>
      </c>
      <c r="Q126">
        <v>1000</v>
      </c>
      <c r="Y126">
        <v>8E-05</v>
      </c>
      <c r="AA126">
        <v>14752.49</v>
      </c>
      <c r="AB126">
        <v>0</v>
      </c>
      <c r="AC126">
        <v>0</v>
      </c>
      <c r="AD126">
        <v>0</v>
      </c>
      <c r="AN126">
        <v>0</v>
      </c>
      <c r="AO126">
        <v>1</v>
      </c>
      <c r="AP126">
        <v>0</v>
      </c>
      <c r="AQ126">
        <v>0</v>
      </c>
      <c r="AR126">
        <v>0</v>
      </c>
      <c r="AT126">
        <v>8E-05</v>
      </c>
      <c r="AV126">
        <v>0</v>
      </c>
    </row>
    <row r="127" spans="1:48" ht="12.75">
      <c r="A127">
        <f>ROW(Source!A48)</f>
        <v>48</v>
      </c>
      <c r="B127">
        <v>7700205</v>
      </c>
      <c r="C127">
        <v>7700192</v>
      </c>
      <c r="D127">
        <v>6331829</v>
      </c>
      <c r="E127">
        <v>1</v>
      </c>
      <c r="F127">
        <v>1</v>
      </c>
      <c r="G127">
        <v>1</v>
      </c>
      <c r="H127">
        <v>3</v>
      </c>
      <c r="I127" t="s">
        <v>297</v>
      </c>
      <c r="J127" t="s">
        <v>298</v>
      </c>
      <c r="K127" t="s">
        <v>299</v>
      </c>
      <c r="L127">
        <v>1348</v>
      </c>
      <c r="N127">
        <v>1009</v>
      </c>
      <c r="O127" t="s">
        <v>293</v>
      </c>
      <c r="P127" t="s">
        <v>293</v>
      </c>
      <c r="Q127">
        <v>1000</v>
      </c>
      <c r="Y127">
        <v>0.0006</v>
      </c>
      <c r="AA127">
        <v>6656.36</v>
      </c>
      <c r="AB127">
        <v>0</v>
      </c>
      <c r="AC127">
        <v>0</v>
      </c>
      <c r="AD127">
        <v>0</v>
      </c>
      <c r="AN127">
        <v>0</v>
      </c>
      <c r="AO127">
        <v>1</v>
      </c>
      <c r="AP127">
        <v>0</v>
      </c>
      <c r="AQ127">
        <v>0</v>
      </c>
      <c r="AR127">
        <v>0</v>
      </c>
      <c r="AT127">
        <v>0.0006</v>
      </c>
      <c r="AV127">
        <v>0</v>
      </c>
    </row>
    <row r="128" spans="1:48" ht="12.75">
      <c r="A128">
        <f>ROW(Source!A48)</f>
        <v>48</v>
      </c>
      <c r="B128">
        <v>7700206</v>
      </c>
      <c r="C128">
        <v>7700192</v>
      </c>
      <c r="D128">
        <v>6332638</v>
      </c>
      <c r="E128">
        <v>1</v>
      </c>
      <c r="F128">
        <v>1</v>
      </c>
      <c r="G128">
        <v>1</v>
      </c>
      <c r="H128">
        <v>3</v>
      </c>
      <c r="I128" t="s">
        <v>448</v>
      </c>
      <c r="J128" t="s">
        <v>449</v>
      </c>
      <c r="K128" t="s">
        <v>450</v>
      </c>
      <c r="L128">
        <v>1346</v>
      </c>
      <c r="N128">
        <v>1009</v>
      </c>
      <c r="O128" t="s">
        <v>306</v>
      </c>
      <c r="P128" t="s">
        <v>306</v>
      </c>
      <c r="Q128">
        <v>1</v>
      </c>
      <c r="Y128">
        <v>0.31</v>
      </c>
      <c r="AA128">
        <v>27.72</v>
      </c>
      <c r="AB128">
        <v>0</v>
      </c>
      <c r="AC128">
        <v>0</v>
      </c>
      <c r="AD128">
        <v>0</v>
      </c>
      <c r="AN128">
        <v>0</v>
      </c>
      <c r="AO128">
        <v>1</v>
      </c>
      <c r="AP128">
        <v>0</v>
      </c>
      <c r="AQ128">
        <v>0</v>
      </c>
      <c r="AR128">
        <v>0</v>
      </c>
      <c r="AT128">
        <v>0.31</v>
      </c>
      <c r="AV128">
        <v>0</v>
      </c>
    </row>
    <row r="129" spans="1:48" ht="12.75">
      <c r="A129">
        <f>ROW(Source!A48)</f>
        <v>48</v>
      </c>
      <c r="B129">
        <v>7700212</v>
      </c>
      <c r="C129">
        <v>7700192</v>
      </c>
      <c r="D129">
        <v>6334697</v>
      </c>
      <c r="E129">
        <v>1</v>
      </c>
      <c r="F129">
        <v>1</v>
      </c>
      <c r="G129">
        <v>1</v>
      </c>
      <c r="H129">
        <v>3</v>
      </c>
      <c r="I129" t="s">
        <v>105</v>
      </c>
      <c r="J129" t="s">
        <v>108</v>
      </c>
      <c r="K129" t="s">
        <v>106</v>
      </c>
      <c r="L129">
        <v>1301</v>
      </c>
      <c r="N129">
        <v>1003</v>
      </c>
      <c r="O129" t="s">
        <v>107</v>
      </c>
      <c r="P129" t="s">
        <v>107</v>
      </c>
      <c r="Q129">
        <v>1</v>
      </c>
      <c r="Y129">
        <v>1000</v>
      </c>
      <c r="AA129">
        <v>6.36</v>
      </c>
      <c r="AB129">
        <v>0</v>
      </c>
      <c r="AC129">
        <v>0</v>
      </c>
      <c r="AD129">
        <v>0</v>
      </c>
      <c r="AN129">
        <v>0</v>
      </c>
      <c r="AO129">
        <v>0</v>
      </c>
      <c r="AP129">
        <v>2</v>
      </c>
      <c r="AQ129">
        <v>0</v>
      </c>
      <c r="AR129">
        <v>0</v>
      </c>
      <c r="AT129">
        <v>1000</v>
      </c>
      <c r="AV129">
        <v>0</v>
      </c>
    </row>
    <row r="130" spans="1:48" ht="12.75">
      <c r="A130">
        <f>ROW(Source!A48)</f>
        <v>48</v>
      </c>
      <c r="B130">
        <v>7700207</v>
      </c>
      <c r="C130">
        <v>7700192</v>
      </c>
      <c r="D130">
        <v>6337485</v>
      </c>
      <c r="E130">
        <v>1</v>
      </c>
      <c r="F130">
        <v>1</v>
      </c>
      <c r="G130">
        <v>1</v>
      </c>
      <c r="H130">
        <v>3</v>
      </c>
      <c r="I130" t="s">
        <v>363</v>
      </c>
      <c r="J130" t="s">
        <v>364</v>
      </c>
      <c r="K130" t="s">
        <v>365</v>
      </c>
      <c r="L130">
        <v>1355</v>
      </c>
      <c r="N130">
        <v>1010</v>
      </c>
      <c r="O130" t="s">
        <v>141</v>
      </c>
      <c r="P130" t="s">
        <v>141</v>
      </c>
      <c r="Q130">
        <v>100</v>
      </c>
      <c r="Y130">
        <v>0.006999999999999999</v>
      </c>
      <c r="AA130">
        <v>30.74</v>
      </c>
      <c r="AB130">
        <v>0</v>
      </c>
      <c r="AC130">
        <v>0</v>
      </c>
      <c r="AD130">
        <v>0</v>
      </c>
      <c r="AN130">
        <v>0</v>
      </c>
      <c r="AO130">
        <v>1</v>
      </c>
      <c r="AP130">
        <v>0</v>
      </c>
      <c r="AQ130">
        <v>0</v>
      </c>
      <c r="AR130">
        <v>0</v>
      </c>
      <c r="AT130">
        <v>0.006999999999999999</v>
      </c>
      <c r="AV130">
        <v>0</v>
      </c>
    </row>
    <row r="131" spans="1:48" ht="12.75">
      <c r="A131">
        <f>ROW(Source!A48)</f>
        <v>48</v>
      </c>
      <c r="B131">
        <v>7700208</v>
      </c>
      <c r="C131">
        <v>7700192</v>
      </c>
      <c r="D131">
        <v>6337613</v>
      </c>
      <c r="E131">
        <v>1</v>
      </c>
      <c r="F131">
        <v>1</v>
      </c>
      <c r="G131">
        <v>1</v>
      </c>
      <c r="H131">
        <v>3</v>
      </c>
      <c r="I131" t="s">
        <v>310</v>
      </c>
      <c r="J131" t="s">
        <v>311</v>
      </c>
      <c r="K131" t="s">
        <v>312</v>
      </c>
      <c r="L131">
        <v>1348</v>
      </c>
      <c r="N131">
        <v>1009</v>
      </c>
      <c r="O131" t="s">
        <v>293</v>
      </c>
      <c r="P131" t="s">
        <v>293</v>
      </c>
      <c r="Q131">
        <v>1000</v>
      </c>
      <c r="Y131">
        <v>0.0007</v>
      </c>
      <c r="AA131">
        <v>19225.64</v>
      </c>
      <c r="AB131">
        <v>0</v>
      </c>
      <c r="AC131">
        <v>0</v>
      </c>
      <c r="AD131">
        <v>0</v>
      </c>
      <c r="AN131">
        <v>0</v>
      </c>
      <c r="AO131">
        <v>1</v>
      </c>
      <c r="AP131">
        <v>0</v>
      </c>
      <c r="AQ131">
        <v>0</v>
      </c>
      <c r="AR131">
        <v>0</v>
      </c>
      <c r="AT131">
        <v>0.0007</v>
      </c>
      <c r="AV131">
        <v>0</v>
      </c>
    </row>
    <row r="132" spans="1:48" ht="12.75">
      <c r="A132">
        <f>ROW(Source!A48)</f>
        <v>48</v>
      </c>
      <c r="B132">
        <v>7700209</v>
      </c>
      <c r="C132">
        <v>7700192</v>
      </c>
      <c r="D132">
        <v>6337840</v>
      </c>
      <c r="E132">
        <v>1</v>
      </c>
      <c r="F132">
        <v>1</v>
      </c>
      <c r="G132">
        <v>1</v>
      </c>
      <c r="H132">
        <v>3</v>
      </c>
      <c r="I132" t="s">
        <v>451</v>
      </c>
      <c r="J132" t="s">
        <v>452</v>
      </c>
      <c r="K132" t="s">
        <v>453</v>
      </c>
      <c r="L132">
        <v>1348</v>
      </c>
      <c r="N132">
        <v>1009</v>
      </c>
      <c r="O132" t="s">
        <v>293</v>
      </c>
      <c r="P132" t="s">
        <v>293</v>
      </c>
      <c r="Q132">
        <v>1000</v>
      </c>
      <c r="Y132">
        <v>0.0007</v>
      </c>
      <c r="AA132">
        <v>40162.46</v>
      </c>
      <c r="AB132">
        <v>0</v>
      </c>
      <c r="AC132">
        <v>0</v>
      </c>
      <c r="AD132">
        <v>0</v>
      </c>
      <c r="AN132">
        <v>0</v>
      </c>
      <c r="AO132">
        <v>1</v>
      </c>
      <c r="AP132">
        <v>0</v>
      </c>
      <c r="AQ132">
        <v>0</v>
      </c>
      <c r="AR132">
        <v>0</v>
      </c>
      <c r="AT132">
        <v>0.0007</v>
      </c>
      <c r="AV132">
        <v>0</v>
      </c>
    </row>
    <row r="133" spans="1:48" ht="12.75">
      <c r="A133">
        <f>ROW(Source!A48)</f>
        <v>48</v>
      </c>
      <c r="B133">
        <v>7700213</v>
      </c>
      <c r="C133">
        <v>7700192</v>
      </c>
      <c r="D133">
        <v>6345864</v>
      </c>
      <c r="E133">
        <v>1</v>
      </c>
      <c r="F133">
        <v>1</v>
      </c>
      <c r="G133">
        <v>1</v>
      </c>
      <c r="H133">
        <v>3</v>
      </c>
      <c r="I133" t="s">
        <v>114</v>
      </c>
      <c r="J133" t="s">
        <v>116</v>
      </c>
      <c r="K133" t="s">
        <v>115</v>
      </c>
      <c r="L133">
        <v>1354</v>
      </c>
      <c r="N133">
        <v>1010</v>
      </c>
      <c r="O133" t="s">
        <v>20</v>
      </c>
      <c r="P133" t="s">
        <v>20</v>
      </c>
      <c r="Q133">
        <v>1</v>
      </c>
      <c r="Y133">
        <v>1000</v>
      </c>
      <c r="AA133">
        <v>191.33</v>
      </c>
      <c r="AB133">
        <v>0</v>
      </c>
      <c r="AC133">
        <v>0</v>
      </c>
      <c r="AD133">
        <v>0</v>
      </c>
      <c r="AN133">
        <v>0</v>
      </c>
      <c r="AO133">
        <v>0</v>
      </c>
      <c r="AP133">
        <v>2</v>
      </c>
      <c r="AQ133">
        <v>0</v>
      </c>
      <c r="AR133">
        <v>0</v>
      </c>
      <c r="AT133">
        <v>1000</v>
      </c>
      <c r="AV133">
        <v>0</v>
      </c>
    </row>
    <row r="134" spans="1:48" ht="12.75">
      <c r="A134">
        <f>ROW(Source!A48)</f>
        <v>48</v>
      </c>
      <c r="B134">
        <v>7700210</v>
      </c>
      <c r="C134">
        <v>7700192</v>
      </c>
      <c r="D134">
        <v>6357729</v>
      </c>
      <c r="E134">
        <v>1</v>
      </c>
      <c r="F134">
        <v>1</v>
      </c>
      <c r="G134">
        <v>1</v>
      </c>
      <c r="H134">
        <v>3</v>
      </c>
      <c r="I134" t="s">
        <v>454</v>
      </c>
      <c r="J134" t="s">
        <v>455</v>
      </c>
      <c r="K134" t="s">
        <v>456</v>
      </c>
      <c r="L134">
        <v>1358</v>
      </c>
      <c r="N134">
        <v>1010</v>
      </c>
      <c r="O134" t="s">
        <v>211</v>
      </c>
      <c r="P134" t="s">
        <v>211</v>
      </c>
      <c r="Q134">
        <v>10</v>
      </c>
      <c r="Y134">
        <v>27</v>
      </c>
      <c r="AA134">
        <v>21.18</v>
      </c>
      <c r="AB134">
        <v>0</v>
      </c>
      <c r="AC134">
        <v>0</v>
      </c>
      <c r="AD134">
        <v>0</v>
      </c>
      <c r="AN134">
        <v>0</v>
      </c>
      <c r="AO134">
        <v>1</v>
      </c>
      <c r="AP134">
        <v>0</v>
      </c>
      <c r="AQ134">
        <v>0</v>
      </c>
      <c r="AR134">
        <v>0</v>
      </c>
      <c r="AT134">
        <v>27</v>
      </c>
      <c r="AV134">
        <v>0</v>
      </c>
    </row>
    <row r="135" spans="1:48" ht="12.75">
      <c r="A135">
        <f>ROW(Source!A48)</f>
        <v>48</v>
      </c>
      <c r="B135">
        <v>7700211</v>
      </c>
      <c r="C135">
        <v>7700192</v>
      </c>
      <c r="D135">
        <v>6357740</v>
      </c>
      <c r="E135">
        <v>1</v>
      </c>
      <c r="F135">
        <v>1</v>
      </c>
      <c r="G135">
        <v>1</v>
      </c>
      <c r="H135">
        <v>3</v>
      </c>
      <c r="I135" t="s">
        <v>457</v>
      </c>
      <c r="J135" t="s">
        <v>458</v>
      </c>
      <c r="K135" t="s">
        <v>459</v>
      </c>
      <c r="L135">
        <v>1355</v>
      </c>
      <c r="N135">
        <v>1010</v>
      </c>
      <c r="O135" t="s">
        <v>141</v>
      </c>
      <c r="P135" t="s">
        <v>141</v>
      </c>
      <c r="Q135">
        <v>100</v>
      </c>
      <c r="Y135">
        <v>0.68</v>
      </c>
      <c r="AA135">
        <v>150</v>
      </c>
      <c r="AB135">
        <v>0</v>
      </c>
      <c r="AC135">
        <v>0</v>
      </c>
      <c r="AD135">
        <v>0</v>
      </c>
      <c r="AN135">
        <v>0</v>
      </c>
      <c r="AO135">
        <v>1</v>
      </c>
      <c r="AP135">
        <v>0</v>
      </c>
      <c r="AQ135">
        <v>0</v>
      </c>
      <c r="AR135">
        <v>0</v>
      </c>
      <c r="AT135">
        <v>0.68</v>
      </c>
      <c r="AV135">
        <v>0</v>
      </c>
    </row>
    <row r="136" spans="1:48" ht="12.75">
      <c r="A136">
        <f>ROW(Source!A50)</f>
        <v>50</v>
      </c>
      <c r="B136">
        <v>7700216</v>
      </c>
      <c r="C136">
        <v>7700214</v>
      </c>
      <c r="D136">
        <v>5608703</v>
      </c>
      <c r="E136">
        <v>1</v>
      </c>
      <c r="F136">
        <v>1</v>
      </c>
      <c r="G136">
        <v>1</v>
      </c>
      <c r="H136">
        <v>1</v>
      </c>
      <c r="I136" t="s">
        <v>366</v>
      </c>
      <c r="K136" t="s">
        <v>367</v>
      </c>
      <c r="L136">
        <v>1476</v>
      </c>
      <c r="N136">
        <v>1013</v>
      </c>
      <c r="O136" t="s">
        <v>271</v>
      </c>
      <c r="P136" t="s">
        <v>272</v>
      </c>
      <c r="Q136">
        <v>1</v>
      </c>
      <c r="Y136">
        <v>4.2</v>
      </c>
      <c r="AA136">
        <v>0</v>
      </c>
      <c r="AB136">
        <v>0</v>
      </c>
      <c r="AC136">
        <v>0</v>
      </c>
      <c r="AD136">
        <v>9.61</v>
      </c>
      <c r="AN136">
        <v>0</v>
      </c>
      <c r="AO136">
        <v>1</v>
      </c>
      <c r="AP136">
        <v>0</v>
      </c>
      <c r="AQ136">
        <v>0</v>
      </c>
      <c r="AR136">
        <v>0</v>
      </c>
      <c r="AT136">
        <v>4.2</v>
      </c>
      <c r="AV136">
        <v>1</v>
      </c>
    </row>
    <row r="137" spans="1:48" ht="12.75">
      <c r="A137">
        <f>ROW(Source!A50)</f>
        <v>50</v>
      </c>
      <c r="B137">
        <v>7700217</v>
      </c>
      <c r="C137">
        <v>7700214</v>
      </c>
      <c r="D137">
        <v>6332220</v>
      </c>
      <c r="E137">
        <v>1</v>
      </c>
      <c r="F137">
        <v>1</v>
      </c>
      <c r="G137">
        <v>1</v>
      </c>
      <c r="H137">
        <v>3</v>
      </c>
      <c r="I137" t="s">
        <v>360</v>
      </c>
      <c r="J137" t="s">
        <v>361</v>
      </c>
      <c r="K137" t="s">
        <v>362</v>
      </c>
      <c r="L137">
        <v>1346</v>
      </c>
      <c r="N137">
        <v>1009</v>
      </c>
      <c r="O137" t="s">
        <v>306</v>
      </c>
      <c r="P137" t="s">
        <v>306</v>
      </c>
      <c r="Q137">
        <v>1</v>
      </c>
      <c r="Y137">
        <v>0.02</v>
      </c>
      <c r="AA137">
        <v>41.22</v>
      </c>
      <c r="AB137">
        <v>0</v>
      </c>
      <c r="AC137">
        <v>0</v>
      </c>
      <c r="AD137">
        <v>0</v>
      </c>
      <c r="AN137">
        <v>0</v>
      </c>
      <c r="AO137">
        <v>1</v>
      </c>
      <c r="AP137">
        <v>0</v>
      </c>
      <c r="AQ137">
        <v>0</v>
      </c>
      <c r="AR137">
        <v>0</v>
      </c>
      <c r="AT137">
        <v>0.02</v>
      </c>
      <c r="AV137">
        <v>0</v>
      </c>
    </row>
    <row r="138" spans="1:48" ht="12.75">
      <c r="A138">
        <f>ROW(Source!A50)</f>
        <v>50</v>
      </c>
      <c r="B138">
        <v>7700218</v>
      </c>
      <c r="C138">
        <v>7700214</v>
      </c>
      <c r="D138">
        <v>6332585</v>
      </c>
      <c r="E138">
        <v>1</v>
      </c>
      <c r="F138">
        <v>1</v>
      </c>
      <c r="G138">
        <v>1</v>
      </c>
      <c r="H138">
        <v>3</v>
      </c>
      <c r="I138" t="s">
        <v>460</v>
      </c>
      <c r="J138" t="s">
        <v>461</v>
      </c>
      <c r="K138" t="s">
        <v>462</v>
      </c>
      <c r="L138">
        <v>1346</v>
      </c>
      <c r="N138">
        <v>1009</v>
      </c>
      <c r="O138" t="s">
        <v>306</v>
      </c>
      <c r="P138" t="s">
        <v>306</v>
      </c>
      <c r="Q138">
        <v>1</v>
      </c>
      <c r="Y138">
        <v>0.091</v>
      </c>
      <c r="AA138">
        <v>19.08</v>
      </c>
      <c r="AB138">
        <v>0</v>
      </c>
      <c r="AC138">
        <v>0</v>
      </c>
      <c r="AD138">
        <v>0</v>
      </c>
      <c r="AN138">
        <v>0</v>
      </c>
      <c r="AO138">
        <v>1</v>
      </c>
      <c r="AP138">
        <v>0</v>
      </c>
      <c r="AQ138">
        <v>0</v>
      </c>
      <c r="AR138">
        <v>0</v>
      </c>
      <c r="AT138">
        <v>0.091</v>
      </c>
      <c r="AV138">
        <v>0</v>
      </c>
    </row>
    <row r="139" spans="1:48" ht="12.75">
      <c r="A139">
        <f>ROW(Source!A50)</f>
        <v>50</v>
      </c>
      <c r="B139">
        <v>7704241</v>
      </c>
      <c r="C139">
        <v>7700214</v>
      </c>
      <c r="D139">
        <v>6345864</v>
      </c>
      <c r="E139">
        <v>1</v>
      </c>
      <c r="F139">
        <v>1</v>
      </c>
      <c r="G139">
        <v>1</v>
      </c>
      <c r="H139">
        <v>3</v>
      </c>
      <c r="I139" t="s">
        <v>114</v>
      </c>
      <c r="J139" t="s">
        <v>116</v>
      </c>
      <c r="K139" t="s">
        <v>115</v>
      </c>
      <c r="L139">
        <v>1354</v>
      </c>
      <c r="N139">
        <v>1010</v>
      </c>
      <c r="O139" t="s">
        <v>20</v>
      </c>
      <c r="P139" t="s">
        <v>20</v>
      </c>
      <c r="Q139">
        <v>1</v>
      </c>
      <c r="Y139">
        <v>1</v>
      </c>
      <c r="AA139">
        <v>191.33</v>
      </c>
      <c r="AB139">
        <v>0</v>
      </c>
      <c r="AC139">
        <v>0</v>
      </c>
      <c r="AD139">
        <v>0</v>
      </c>
      <c r="AN139">
        <v>0</v>
      </c>
      <c r="AO139">
        <v>0</v>
      </c>
      <c r="AP139">
        <v>2</v>
      </c>
      <c r="AQ139">
        <v>0</v>
      </c>
      <c r="AR139">
        <v>0</v>
      </c>
      <c r="AT139">
        <v>1</v>
      </c>
      <c r="AV139">
        <v>0</v>
      </c>
    </row>
    <row r="140" spans="1:48" ht="12.75">
      <c r="A140">
        <f>ROW(Source!A50)</f>
        <v>50</v>
      </c>
      <c r="B140">
        <v>7700219</v>
      </c>
      <c r="C140">
        <v>7700214</v>
      </c>
      <c r="D140">
        <v>6357788</v>
      </c>
      <c r="E140">
        <v>1</v>
      </c>
      <c r="F140">
        <v>1</v>
      </c>
      <c r="G140">
        <v>1</v>
      </c>
      <c r="H140">
        <v>3</v>
      </c>
      <c r="I140" t="s">
        <v>122</v>
      </c>
      <c r="J140" t="s">
        <v>124</v>
      </c>
      <c r="K140" t="s">
        <v>123</v>
      </c>
      <c r="L140">
        <v>1354</v>
      </c>
      <c r="N140">
        <v>1010</v>
      </c>
      <c r="O140" t="s">
        <v>20</v>
      </c>
      <c r="P140" t="s">
        <v>20</v>
      </c>
      <c r="Q140">
        <v>1</v>
      </c>
      <c r="Y140">
        <v>0.222222</v>
      </c>
      <c r="AA140">
        <v>571.58</v>
      </c>
      <c r="AB140">
        <v>0</v>
      </c>
      <c r="AC140">
        <v>0</v>
      </c>
      <c r="AD140">
        <v>0</v>
      </c>
      <c r="AN140">
        <v>0</v>
      </c>
      <c r="AO140">
        <v>0</v>
      </c>
      <c r="AP140">
        <v>2</v>
      </c>
      <c r="AQ140">
        <v>0</v>
      </c>
      <c r="AR140">
        <v>0</v>
      </c>
      <c r="AT140">
        <v>0.222222</v>
      </c>
      <c r="AV140">
        <v>0</v>
      </c>
    </row>
    <row r="141" spans="1:48" ht="12.75">
      <c r="A141">
        <f>ROW(Source!A52)</f>
        <v>52</v>
      </c>
      <c r="B141">
        <v>7700227</v>
      </c>
      <c r="C141">
        <v>7700225</v>
      </c>
      <c r="D141">
        <v>5603250</v>
      </c>
      <c r="E141">
        <v>1</v>
      </c>
      <c r="F141">
        <v>1</v>
      </c>
      <c r="G141">
        <v>1</v>
      </c>
      <c r="H141">
        <v>1</v>
      </c>
      <c r="I141" t="s">
        <v>399</v>
      </c>
      <c r="K141" t="s">
        <v>400</v>
      </c>
      <c r="L141">
        <v>1476</v>
      </c>
      <c r="N141">
        <v>1013</v>
      </c>
      <c r="O141" t="s">
        <v>271</v>
      </c>
      <c r="P141" t="s">
        <v>272</v>
      </c>
      <c r="Q141">
        <v>1</v>
      </c>
      <c r="Y141">
        <v>5.61</v>
      </c>
      <c r="AA141">
        <v>0</v>
      </c>
      <c r="AB141">
        <v>0</v>
      </c>
      <c r="AC141">
        <v>0</v>
      </c>
      <c r="AD141">
        <v>9.39</v>
      </c>
      <c r="AN141">
        <v>0</v>
      </c>
      <c r="AO141">
        <v>1</v>
      </c>
      <c r="AP141">
        <v>0</v>
      </c>
      <c r="AQ141">
        <v>0</v>
      </c>
      <c r="AR141">
        <v>0</v>
      </c>
      <c r="AT141">
        <v>5.61</v>
      </c>
      <c r="AV141">
        <v>1</v>
      </c>
    </row>
    <row r="142" spans="1:48" ht="12.75">
      <c r="A142">
        <f>ROW(Source!A52)</f>
        <v>52</v>
      </c>
      <c r="B142">
        <v>7700228</v>
      </c>
      <c r="C142">
        <v>7700225</v>
      </c>
      <c r="D142">
        <v>121548</v>
      </c>
      <c r="E142">
        <v>1</v>
      </c>
      <c r="F142">
        <v>1</v>
      </c>
      <c r="G142">
        <v>1</v>
      </c>
      <c r="H142">
        <v>1</v>
      </c>
      <c r="I142" t="s">
        <v>24</v>
      </c>
      <c r="K142" t="s">
        <v>273</v>
      </c>
      <c r="L142">
        <v>608254</v>
      </c>
      <c r="N142">
        <v>1013</v>
      </c>
      <c r="O142" t="s">
        <v>274</v>
      </c>
      <c r="P142" t="s">
        <v>274</v>
      </c>
      <c r="Q142">
        <v>1</v>
      </c>
      <c r="Y142">
        <v>0.02</v>
      </c>
      <c r="AA142">
        <v>0</v>
      </c>
      <c r="AB142">
        <v>0</v>
      </c>
      <c r="AC142">
        <v>0</v>
      </c>
      <c r="AD142">
        <v>0</v>
      </c>
      <c r="AN142">
        <v>0</v>
      </c>
      <c r="AO142">
        <v>1</v>
      </c>
      <c r="AP142">
        <v>0</v>
      </c>
      <c r="AQ142">
        <v>0</v>
      </c>
      <c r="AR142">
        <v>0</v>
      </c>
      <c r="AT142">
        <v>0.02</v>
      </c>
      <c r="AV142">
        <v>2</v>
      </c>
    </row>
    <row r="143" spans="1:48" ht="12.75">
      <c r="A143">
        <f>ROW(Source!A52)</f>
        <v>52</v>
      </c>
      <c r="B143">
        <v>7700229</v>
      </c>
      <c r="C143">
        <v>7700225</v>
      </c>
      <c r="D143">
        <v>6298444</v>
      </c>
      <c r="E143">
        <v>1</v>
      </c>
      <c r="F143">
        <v>1</v>
      </c>
      <c r="G143">
        <v>1</v>
      </c>
      <c r="H143">
        <v>2</v>
      </c>
      <c r="I143" t="s">
        <v>275</v>
      </c>
      <c r="J143" t="s">
        <v>276</v>
      </c>
      <c r="K143" t="s">
        <v>277</v>
      </c>
      <c r="L143">
        <v>1480</v>
      </c>
      <c r="N143">
        <v>1013</v>
      </c>
      <c r="O143" t="s">
        <v>278</v>
      </c>
      <c r="P143" t="s">
        <v>279</v>
      </c>
      <c r="Q143">
        <v>1</v>
      </c>
      <c r="Y143">
        <v>0.01</v>
      </c>
      <c r="AA143">
        <v>0</v>
      </c>
      <c r="AB143">
        <v>134.99</v>
      </c>
      <c r="AC143">
        <v>11.81</v>
      </c>
      <c r="AD143">
        <v>0</v>
      </c>
      <c r="AN143">
        <v>0</v>
      </c>
      <c r="AO143">
        <v>1</v>
      </c>
      <c r="AP143">
        <v>0</v>
      </c>
      <c r="AQ143">
        <v>0</v>
      </c>
      <c r="AR143">
        <v>0</v>
      </c>
      <c r="AT143">
        <v>0.01</v>
      </c>
      <c r="AV143">
        <v>0</v>
      </c>
    </row>
    <row r="144" spans="1:48" ht="12.75">
      <c r="A144">
        <f>ROW(Source!A52)</f>
        <v>52</v>
      </c>
      <c r="B144">
        <v>7700230</v>
      </c>
      <c r="C144">
        <v>7700225</v>
      </c>
      <c r="D144">
        <v>6300746</v>
      </c>
      <c r="E144">
        <v>1</v>
      </c>
      <c r="F144">
        <v>1</v>
      </c>
      <c r="G144">
        <v>1</v>
      </c>
      <c r="H144">
        <v>2</v>
      </c>
      <c r="I144" t="s">
        <v>374</v>
      </c>
      <c r="J144" t="s">
        <v>375</v>
      </c>
      <c r="K144" t="s">
        <v>376</v>
      </c>
      <c r="L144">
        <v>1368</v>
      </c>
      <c r="N144">
        <v>1011</v>
      </c>
      <c r="O144" t="s">
        <v>283</v>
      </c>
      <c r="P144" t="s">
        <v>283</v>
      </c>
      <c r="Q144">
        <v>1</v>
      </c>
      <c r="Y144">
        <v>0.01</v>
      </c>
      <c r="AA144">
        <v>0</v>
      </c>
      <c r="AB144">
        <v>70.53</v>
      </c>
      <c r="AC144">
        <v>33.66</v>
      </c>
      <c r="AD144">
        <v>0</v>
      </c>
      <c r="AN144">
        <v>0</v>
      </c>
      <c r="AO144">
        <v>1</v>
      </c>
      <c r="AP144">
        <v>0</v>
      </c>
      <c r="AQ144">
        <v>0</v>
      </c>
      <c r="AR144">
        <v>0</v>
      </c>
      <c r="AT144">
        <v>0.01</v>
      </c>
      <c r="AV144">
        <v>0</v>
      </c>
    </row>
    <row r="145" spans="1:48" ht="12.75">
      <c r="A145">
        <f>ROW(Source!A52)</f>
        <v>52</v>
      </c>
      <c r="B145">
        <v>7700231</v>
      </c>
      <c r="C145">
        <v>7700225</v>
      </c>
      <c r="D145">
        <v>6332271</v>
      </c>
      <c r="E145">
        <v>1</v>
      </c>
      <c r="F145">
        <v>1</v>
      </c>
      <c r="G145">
        <v>1</v>
      </c>
      <c r="H145">
        <v>3</v>
      </c>
      <c r="I145" t="s">
        <v>463</v>
      </c>
      <c r="J145" t="s">
        <v>464</v>
      </c>
      <c r="K145" t="s">
        <v>465</v>
      </c>
      <c r="L145">
        <v>1348</v>
      </c>
      <c r="N145">
        <v>1009</v>
      </c>
      <c r="O145" t="s">
        <v>293</v>
      </c>
      <c r="P145" t="s">
        <v>293</v>
      </c>
      <c r="Q145">
        <v>1000</v>
      </c>
      <c r="Y145">
        <v>0.00043</v>
      </c>
      <c r="AA145">
        <v>13952.77</v>
      </c>
      <c r="AB145">
        <v>0</v>
      </c>
      <c r="AC145">
        <v>0</v>
      </c>
      <c r="AD145">
        <v>0</v>
      </c>
      <c r="AN145">
        <v>0</v>
      </c>
      <c r="AO145">
        <v>1</v>
      </c>
      <c r="AP145">
        <v>0</v>
      </c>
      <c r="AQ145">
        <v>0</v>
      </c>
      <c r="AR145">
        <v>0</v>
      </c>
      <c r="AT145">
        <v>0.00043</v>
      </c>
      <c r="AV145">
        <v>0</v>
      </c>
    </row>
    <row r="146" spans="1:48" ht="12.75">
      <c r="A146">
        <f>ROW(Source!A52)</f>
        <v>52</v>
      </c>
      <c r="B146">
        <v>7700232</v>
      </c>
      <c r="C146">
        <v>7700225</v>
      </c>
      <c r="D146">
        <v>6333904</v>
      </c>
      <c r="E146">
        <v>1</v>
      </c>
      <c r="F146">
        <v>1</v>
      </c>
      <c r="G146">
        <v>1</v>
      </c>
      <c r="H146">
        <v>3</v>
      </c>
      <c r="I146" t="s">
        <v>407</v>
      </c>
      <c r="J146" t="s">
        <v>408</v>
      </c>
      <c r="K146" t="s">
        <v>409</v>
      </c>
      <c r="L146">
        <v>1346</v>
      </c>
      <c r="N146">
        <v>1009</v>
      </c>
      <c r="O146" t="s">
        <v>306</v>
      </c>
      <c r="P146" t="s">
        <v>306</v>
      </c>
      <c r="Q146">
        <v>1</v>
      </c>
      <c r="Y146">
        <v>0.02</v>
      </c>
      <c r="AA146">
        <v>12.6</v>
      </c>
      <c r="AB146">
        <v>0</v>
      </c>
      <c r="AC146">
        <v>0</v>
      </c>
      <c r="AD146">
        <v>0</v>
      </c>
      <c r="AN146">
        <v>0</v>
      </c>
      <c r="AO146">
        <v>1</v>
      </c>
      <c r="AP146">
        <v>0</v>
      </c>
      <c r="AQ146">
        <v>0</v>
      </c>
      <c r="AR146">
        <v>0</v>
      </c>
      <c r="AT146">
        <v>0.02</v>
      </c>
      <c r="AV146">
        <v>0</v>
      </c>
    </row>
    <row r="147" spans="1:48" ht="12.75">
      <c r="A147">
        <f>ROW(Source!A52)</f>
        <v>52</v>
      </c>
      <c r="B147">
        <v>7700233</v>
      </c>
      <c r="C147">
        <v>7700225</v>
      </c>
      <c r="D147">
        <v>6357737</v>
      </c>
      <c r="E147">
        <v>1</v>
      </c>
      <c r="F147">
        <v>1</v>
      </c>
      <c r="G147">
        <v>1</v>
      </c>
      <c r="H147">
        <v>3</v>
      </c>
      <c r="I147" t="s">
        <v>410</v>
      </c>
      <c r="J147" t="s">
        <v>411</v>
      </c>
      <c r="K147" t="s">
        <v>412</v>
      </c>
      <c r="L147">
        <v>1355</v>
      </c>
      <c r="N147">
        <v>1010</v>
      </c>
      <c r="O147" t="s">
        <v>141</v>
      </c>
      <c r="P147" t="s">
        <v>141</v>
      </c>
      <c r="Q147">
        <v>100</v>
      </c>
      <c r="Y147">
        <v>0.31</v>
      </c>
      <c r="AA147">
        <v>528</v>
      </c>
      <c r="AB147">
        <v>0</v>
      </c>
      <c r="AC147">
        <v>0</v>
      </c>
      <c r="AD147">
        <v>0</v>
      </c>
      <c r="AN147">
        <v>0</v>
      </c>
      <c r="AO147">
        <v>1</v>
      </c>
      <c r="AP147">
        <v>0</v>
      </c>
      <c r="AQ147">
        <v>0</v>
      </c>
      <c r="AR147">
        <v>0</v>
      </c>
      <c r="AT147">
        <v>0.31</v>
      </c>
      <c r="AV147">
        <v>0</v>
      </c>
    </row>
    <row r="148" spans="1:48" ht="12.75">
      <c r="A148">
        <f>ROW(Source!A52)</f>
        <v>52</v>
      </c>
      <c r="B148">
        <v>7700234</v>
      </c>
      <c r="C148">
        <v>7700225</v>
      </c>
      <c r="D148">
        <v>6357753</v>
      </c>
      <c r="E148">
        <v>1</v>
      </c>
      <c r="F148">
        <v>1</v>
      </c>
      <c r="G148">
        <v>1</v>
      </c>
      <c r="H148">
        <v>3</v>
      </c>
      <c r="I148" t="s">
        <v>466</v>
      </c>
      <c r="J148" t="s">
        <v>467</v>
      </c>
      <c r="K148" t="s">
        <v>468</v>
      </c>
      <c r="L148">
        <v>1358</v>
      </c>
      <c r="N148">
        <v>1010</v>
      </c>
      <c r="O148" t="s">
        <v>211</v>
      </c>
      <c r="P148" t="s">
        <v>211</v>
      </c>
      <c r="Q148">
        <v>10</v>
      </c>
      <c r="Y148">
        <v>0.8</v>
      </c>
      <c r="AA148">
        <v>18.7</v>
      </c>
      <c r="AB148">
        <v>0</v>
      </c>
      <c r="AC148">
        <v>0</v>
      </c>
      <c r="AD148">
        <v>0</v>
      </c>
      <c r="AN148">
        <v>0</v>
      </c>
      <c r="AO148">
        <v>1</v>
      </c>
      <c r="AP148">
        <v>0</v>
      </c>
      <c r="AQ148">
        <v>0</v>
      </c>
      <c r="AR148">
        <v>0</v>
      </c>
      <c r="AT148">
        <v>0.8</v>
      </c>
      <c r="AV148">
        <v>0</v>
      </c>
    </row>
    <row r="149" spans="1:48" ht="12.75">
      <c r="A149">
        <f>ROW(Source!A52)</f>
        <v>52</v>
      </c>
      <c r="B149">
        <v>7700235</v>
      </c>
      <c r="C149">
        <v>7700225</v>
      </c>
      <c r="D149">
        <v>6357765</v>
      </c>
      <c r="E149">
        <v>1</v>
      </c>
      <c r="F149">
        <v>1</v>
      </c>
      <c r="G149">
        <v>1</v>
      </c>
      <c r="H149">
        <v>3</v>
      </c>
      <c r="I149" t="s">
        <v>469</v>
      </c>
      <c r="J149" t="s">
        <v>470</v>
      </c>
      <c r="K149" t="s">
        <v>471</v>
      </c>
      <c r="L149">
        <v>1354</v>
      </c>
      <c r="N149">
        <v>1010</v>
      </c>
      <c r="O149" t="s">
        <v>20</v>
      </c>
      <c r="P149" t="s">
        <v>20</v>
      </c>
      <c r="Q149">
        <v>1</v>
      </c>
      <c r="Y149">
        <v>12.2</v>
      </c>
      <c r="AA149">
        <v>0</v>
      </c>
      <c r="AB149">
        <v>0</v>
      </c>
      <c r="AC149">
        <v>0</v>
      </c>
      <c r="AD149">
        <v>0</v>
      </c>
      <c r="AN149">
        <v>0</v>
      </c>
      <c r="AO149">
        <v>1</v>
      </c>
      <c r="AP149">
        <v>0</v>
      </c>
      <c r="AQ149">
        <v>0</v>
      </c>
      <c r="AR149">
        <v>0</v>
      </c>
      <c r="AT149">
        <v>12.2</v>
      </c>
      <c r="AV149">
        <v>0</v>
      </c>
    </row>
    <row r="150" spans="1:48" ht="12.75">
      <c r="A150">
        <f>ROW(Source!A52)</f>
        <v>52</v>
      </c>
      <c r="B150">
        <v>7704243</v>
      </c>
      <c r="C150">
        <v>7700225</v>
      </c>
      <c r="D150">
        <v>6357788</v>
      </c>
      <c r="E150">
        <v>1</v>
      </c>
      <c r="F150">
        <v>1</v>
      </c>
      <c r="G150">
        <v>1</v>
      </c>
      <c r="H150">
        <v>3</v>
      </c>
      <c r="I150" t="s">
        <v>122</v>
      </c>
      <c r="J150" t="s">
        <v>124</v>
      </c>
      <c r="K150" t="s">
        <v>123</v>
      </c>
      <c r="L150">
        <v>1354</v>
      </c>
      <c r="N150">
        <v>1010</v>
      </c>
      <c r="O150" t="s">
        <v>20</v>
      </c>
      <c r="P150" t="s">
        <v>20</v>
      </c>
      <c r="Q150">
        <v>1</v>
      </c>
      <c r="Y150">
        <v>14.285714</v>
      </c>
      <c r="AA150">
        <v>571.58</v>
      </c>
      <c r="AB150">
        <v>0</v>
      </c>
      <c r="AC150">
        <v>0</v>
      </c>
      <c r="AD150">
        <v>0</v>
      </c>
      <c r="AN150">
        <v>0</v>
      </c>
      <c r="AO150">
        <v>0</v>
      </c>
      <c r="AP150">
        <v>2</v>
      </c>
      <c r="AQ150">
        <v>0</v>
      </c>
      <c r="AR150">
        <v>0</v>
      </c>
      <c r="AT150">
        <v>14.285714</v>
      </c>
      <c r="AV150">
        <v>0</v>
      </c>
    </row>
    <row r="151" spans="1:48" ht="12.75">
      <c r="A151">
        <f>ROW(Source!A52)</f>
        <v>52</v>
      </c>
      <c r="B151">
        <v>7700236</v>
      </c>
      <c r="C151">
        <v>7700225</v>
      </c>
      <c r="D151">
        <v>6357959</v>
      </c>
      <c r="E151">
        <v>1</v>
      </c>
      <c r="F151">
        <v>1</v>
      </c>
      <c r="G151">
        <v>1</v>
      </c>
      <c r="H151">
        <v>3</v>
      </c>
      <c r="I151" t="s">
        <v>472</v>
      </c>
      <c r="J151" t="s">
        <v>473</v>
      </c>
      <c r="K151" t="s">
        <v>474</v>
      </c>
      <c r="L151">
        <v>1355</v>
      </c>
      <c r="N151">
        <v>1010</v>
      </c>
      <c r="O151" t="s">
        <v>141</v>
      </c>
      <c r="P151" t="s">
        <v>141</v>
      </c>
      <c r="Q151">
        <v>100</v>
      </c>
      <c r="Y151">
        <v>0.05</v>
      </c>
      <c r="AA151">
        <v>7086</v>
      </c>
      <c r="AB151">
        <v>0</v>
      </c>
      <c r="AC151">
        <v>0</v>
      </c>
      <c r="AD151">
        <v>0</v>
      </c>
      <c r="AN151">
        <v>0</v>
      </c>
      <c r="AO151">
        <v>1</v>
      </c>
      <c r="AP151">
        <v>0</v>
      </c>
      <c r="AQ151">
        <v>0</v>
      </c>
      <c r="AR151">
        <v>0</v>
      </c>
      <c r="AT151">
        <v>0.05</v>
      </c>
      <c r="AV151">
        <v>0</v>
      </c>
    </row>
    <row r="152" spans="1:48" ht="12.75">
      <c r="A152">
        <f>ROW(Source!A52)</f>
        <v>52</v>
      </c>
      <c r="B152">
        <v>7700237</v>
      </c>
      <c r="C152">
        <v>7700225</v>
      </c>
      <c r="D152">
        <v>6358087</v>
      </c>
      <c r="E152">
        <v>1</v>
      </c>
      <c r="F152">
        <v>1</v>
      </c>
      <c r="G152">
        <v>1</v>
      </c>
      <c r="H152">
        <v>3</v>
      </c>
      <c r="I152" t="s">
        <v>390</v>
      </c>
      <c r="J152" t="s">
        <v>391</v>
      </c>
      <c r="K152" t="s">
        <v>392</v>
      </c>
      <c r="L152">
        <v>1355</v>
      </c>
      <c r="N152">
        <v>1010</v>
      </c>
      <c r="O152" t="s">
        <v>141</v>
      </c>
      <c r="P152" t="s">
        <v>141</v>
      </c>
      <c r="Q152">
        <v>100</v>
      </c>
      <c r="Y152">
        <v>0.002</v>
      </c>
      <c r="AA152">
        <v>142.5</v>
      </c>
      <c r="AB152">
        <v>0</v>
      </c>
      <c r="AC152">
        <v>0</v>
      </c>
      <c r="AD152">
        <v>0</v>
      </c>
      <c r="AN152">
        <v>0</v>
      </c>
      <c r="AO152">
        <v>1</v>
      </c>
      <c r="AP152">
        <v>0</v>
      </c>
      <c r="AQ152">
        <v>0</v>
      </c>
      <c r="AR152">
        <v>0</v>
      </c>
      <c r="AT152">
        <v>0.002</v>
      </c>
      <c r="AV152">
        <v>0</v>
      </c>
    </row>
    <row r="153" spans="1:48" ht="12.75">
      <c r="A153">
        <f>ROW(Source!A52)</f>
        <v>52</v>
      </c>
      <c r="B153">
        <v>7700238</v>
      </c>
      <c r="C153">
        <v>7700225</v>
      </c>
      <c r="D153">
        <v>6365695</v>
      </c>
      <c r="E153">
        <v>1</v>
      </c>
      <c r="F153">
        <v>1</v>
      </c>
      <c r="G153">
        <v>1</v>
      </c>
      <c r="H153">
        <v>3</v>
      </c>
      <c r="I153" t="s">
        <v>416</v>
      </c>
      <c r="J153" t="s">
        <v>417</v>
      </c>
      <c r="K153" t="s">
        <v>418</v>
      </c>
      <c r="L153">
        <v>1346</v>
      </c>
      <c r="N153">
        <v>1009</v>
      </c>
      <c r="O153" t="s">
        <v>306</v>
      </c>
      <c r="P153" t="s">
        <v>306</v>
      </c>
      <c r="Q153">
        <v>1</v>
      </c>
      <c r="Y153">
        <v>0.16</v>
      </c>
      <c r="AA153">
        <v>91.29</v>
      </c>
      <c r="AB153">
        <v>0</v>
      </c>
      <c r="AC153">
        <v>0</v>
      </c>
      <c r="AD153">
        <v>0</v>
      </c>
      <c r="AN153">
        <v>0</v>
      </c>
      <c r="AO153">
        <v>1</v>
      </c>
      <c r="AP153">
        <v>0</v>
      </c>
      <c r="AQ153">
        <v>0</v>
      </c>
      <c r="AR153">
        <v>0</v>
      </c>
      <c r="AT153">
        <v>0.16</v>
      </c>
      <c r="AV153">
        <v>0</v>
      </c>
    </row>
    <row r="154" spans="1:48" ht="12.75">
      <c r="A154">
        <f>ROW(Source!A54)</f>
        <v>54</v>
      </c>
      <c r="B154">
        <v>7700241</v>
      </c>
      <c r="C154">
        <v>7700239</v>
      </c>
      <c r="D154">
        <v>5612288</v>
      </c>
      <c r="E154">
        <v>1</v>
      </c>
      <c r="F154">
        <v>1</v>
      </c>
      <c r="G154">
        <v>1</v>
      </c>
      <c r="H154">
        <v>1</v>
      </c>
      <c r="I154" t="s">
        <v>319</v>
      </c>
      <c r="K154" t="s">
        <v>320</v>
      </c>
      <c r="L154">
        <v>1476</v>
      </c>
      <c r="N154">
        <v>1013</v>
      </c>
      <c r="O154" t="s">
        <v>271</v>
      </c>
      <c r="P154" t="s">
        <v>272</v>
      </c>
      <c r="Q154">
        <v>1</v>
      </c>
      <c r="Y154">
        <v>76.5</v>
      </c>
      <c r="AA154">
        <v>0</v>
      </c>
      <c r="AB154">
        <v>0</v>
      </c>
      <c r="AC154">
        <v>0</v>
      </c>
      <c r="AD154">
        <v>9.91</v>
      </c>
      <c r="AN154">
        <v>0</v>
      </c>
      <c r="AO154">
        <v>1</v>
      </c>
      <c r="AP154">
        <v>0</v>
      </c>
      <c r="AQ154">
        <v>0</v>
      </c>
      <c r="AR154">
        <v>0</v>
      </c>
      <c r="AT154">
        <v>76.5</v>
      </c>
      <c r="AV154">
        <v>1</v>
      </c>
    </row>
    <row r="155" spans="1:48" ht="12.75">
      <c r="A155">
        <f>ROW(Source!A54)</f>
        <v>54</v>
      </c>
      <c r="B155">
        <v>7700242</v>
      </c>
      <c r="C155">
        <v>7700239</v>
      </c>
      <c r="D155">
        <v>121548</v>
      </c>
      <c r="E155">
        <v>1</v>
      </c>
      <c r="F155">
        <v>1</v>
      </c>
      <c r="G155">
        <v>1</v>
      </c>
      <c r="H155">
        <v>1</v>
      </c>
      <c r="I155" t="s">
        <v>24</v>
      </c>
      <c r="K155" t="s">
        <v>273</v>
      </c>
      <c r="L155">
        <v>608254</v>
      </c>
      <c r="N155">
        <v>1013</v>
      </c>
      <c r="O155" t="s">
        <v>274</v>
      </c>
      <c r="P155" t="s">
        <v>274</v>
      </c>
      <c r="Q155">
        <v>1</v>
      </c>
      <c r="Y155">
        <v>0.2</v>
      </c>
      <c r="AA155">
        <v>0</v>
      </c>
      <c r="AB155">
        <v>0</v>
      </c>
      <c r="AC155">
        <v>0</v>
      </c>
      <c r="AD155">
        <v>0</v>
      </c>
      <c r="AN155">
        <v>0</v>
      </c>
      <c r="AO155">
        <v>1</v>
      </c>
      <c r="AP155">
        <v>0</v>
      </c>
      <c r="AQ155">
        <v>0</v>
      </c>
      <c r="AR155">
        <v>0</v>
      </c>
      <c r="AT155">
        <v>0.2</v>
      </c>
      <c r="AV155">
        <v>2</v>
      </c>
    </row>
    <row r="156" spans="1:48" ht="12.75">
      <c r="A156">
        <f>ROW(Source!A54)</f>
        <v>54</v>
      </c>
      <c r="B156">
        <v>7700243</v>
      </c>
      <c r="C156">
        <v>7700239</v>
      </c>
      <c r="D156">
        <v>6298444</v>
      </c>
      <c r="E156">
        <v>1</v>
      </c>
      <c r="F156">
        <v>1</v>
      </c>
      <c r="G156">
        <v>1</v>
      </c>
      <c r="H156">
        <v>2</v>
      </c>
      <c r="I156" t="s">
        <v>275</v>
      </c>
      <c r="J156" t="s">
        <v>276</v>
      </c>
      <c r="K156" t="s">
        <v>277</v>
      </c>
      <c r="L156">
        <v>1480</v>
      </c>
      <c r="N156">
        <v>1013</v>
      </c>
      <c r="O156" t="s">
        <v>278</v>
      </c>
      <c r="P156" t="s">
        <v>279</v>
      </c>
      <c r="Q156">
        <v>1</v>
      </c>
      <c r="Y156">
        <v>0.1</v>
      </c>
      <c r="AA156">
        <v>0</v>
      </c>
      <c r="AB156">
        <v>134.99</v>
      </c>
      <c r="AC156">
        <v>11.81</v>
      </c>
      <c r="AD156">
        <v>0</v>
      </c>
      <c r="AN156">
        <v>0</v>
      </c>
      <c r="AO156">
        <v>1</v>
      </c>
      <c r="AP156">
        <v>0</v>
      </c>
      <c r="AQ156">
        <v>0</v>
      </c>
      <c r="AR156">
        <v>0</v>
      </c>
      <c r="AT156">
        <v>0.1</v>
      </c>
      <c r="AV156">
        <v>0</v>
      </c>
    </row>
    <row r="157" spans="1:48" ht="12.75">
      <c r="A157">
        <f>ROW(Source!A54)</f>
        <v>54</v>
      </c>
      <c r="B157">
        <v>7700244</v>
      </c>
      <c r="C157">
        <v>7700239</v>
      </c>
      <c r="D157">
        <v>6300327</v>
      </c>
      <c r="E157">
        <v>1</v>
      </c>
      <c r="F157">
        <v>1</v>
      </c>
      <c r="G157">
        <v>1</v>
      </c>
      <c r="H157">
        <v>2</v>
      </c>
      <c r="I157" t="s">
        <v>419</v>
      </c>
      <c r="J157" t="s">
        <v>322</v>
      </c>
      <c r="K157" t="s">
        <v>420</v>
      </c>
      <c r="L157">
        <v>1368</v>
      </c>
      <c r="N157">
        <v>1011</v>
      </c>
      <c r="O157" t="s">
        <v>283</v>
      </c>
      <c r="P157" t="s">
        <v>283</v>
      </c>
      <c r="Q157">
        <v>1</v>
      </c>
      <c r="Y157">
        <v>19.2</v>
      </c>
      <c r="AA157">
        <v>0</v>
      </c>
      <c r="AB157">
        <v>2.95</v>
      </c>
      <c r="AC157">
        <v>0</v>
      </c>
      <c r="AD157">
        <v>0</v>
      </c>
      <c r="AN157">
        <v>0</v>
      </c>
      <c r="AO157">
        <v>1</v>
      </c>
      <c r="AP157">
        <v>0</v>
      </c>
      <c r="AQ157">
        <v>0</v>
      </c>
      <c r="AR157">
        <v>0</v>
      </c>
      <c r="AT157">
        <v>19.2</v>
      </c>
      <c r="AV157">
        <v>0</v>
      </c>
    </row>
    <row r="158" spans="1:48" ht="12.75">
      <c r="A158">
        <f>ROW(Source!A54)</f>
        <v>54</v>
      </c>
      <c r="B158">
        <v>7700245</v>
      </c>
      <c r="C158">
        <v>7700239</v>
      </c>
      <c r="D158">
        <v>6300746</v>
      </c>
      <c r="E158">
        <v>1</v>
      </c>
      <c r="F158">
        <v>1</v>
      </c>
      <c r="G158">
        <v>1</v>
      </c>
      <c r="H158">
        <v>2</v>
      </c>
      <c r="I158" t="s">
        <v>374</v>
      </c>
      <c r="J158" t="s">
        <v>375</v>
      </c>
      <c r="K158" t="s">
        <v>376</v>
      </c>
      <c r="L158">
        <v>1368</v>
      </c>
      <c r="N158">
        <v>1011</v>
      </c>
      <c r="O158" t="s">
        <v>283</v>
      </c>
      <c r="P158" t="s">
        <v>283</v>
      </c>
      <c r="Q158">
        <v>1</v>
      </c>
      <c r="Y158">
        <v>0.1</v>
      </c>
      <c r="AA158">
        <v>0</v>
      </c>
      <c r="AB158">
        <v>70.53</v>
      </c>
      <c r="AC158">
        <v>33.66</v>
      </c>
      <c r="AD158">
        <v>0</v>
      </c>
      <c r="AN158">
        <v>0</v>
      </c>
      <c r="AO158">
        <v>1</v>
      </c>
      <c r="AP158">
        <v>0</v>
      </c>
      <c r="AQ158">
        <v>0</v>
      </c>
      <c r="AR158">
        <v>0</v>
      </c>
      <c r="AT158">
        <v>0.1</v>
      </c>
      <c r="AV158">
        <v>0</v>
      </c>
    </row>
    <row r="159" spans="1:48" ht="12.75">
      <c r="A159">
        <f>ROW(Source!A54)</f>
        <v>54</v>
      </c>
      <c r="B159">
        <v>7700246</v>
      </c>
      <c r="C159">
        <v>7700239</v>
      </c>
      <c r="D159">
        <v>6332019</v>
      </c>
      <c r="E159">
        <v>1</v>
      </c>
      <c r="F159">
        <v>1</v>
      </c>
      <c r="G159">
        <v>1</v>
      </c>
      <c r="H159">
        <v>3</v>
      </c>
      <c r="I159" t="s">
        <v>475</v>
      </c>
      <c r="J159" t="s">
        <v>476</v>
      </c>
      <c r="K159" t="s">
        <v>477</v>
      </c>
      <c r="L159">
        <v>1348</v>
      </c>
      <c r="N159">
        <v>1009</v>
      </c>
      <c r="O159" t="s">
        <v>293</v>
      </c>
      <c r="P159" t="s">
        <v>293</v>
      </c>
      <c r="Q159">
        <v>1000</v>
      </c>
      <c r="Y159">
        <v>0.00032</v>
      </c>
      <c r="AA159">
        <v>11545.42</v>
      </c>
      <c r="AB159">
        <v>0</v>
      </c>
      <c r="AC159">
        <v>0</v>
      </c>
      <c r="AD159">
        <v>0</v>
      </c>
      <c r="AN159">
        <v>0</v>
      </c>
      <c r="AO159">
        <v>1</v>
      </c>
      <c r="AP159">
        <v>0</v>
      </c>
      <c r="AQ159">
        <v>0</v>
      </c>
      <c r="AR159">
        <v>0</v>
      </c>
      <c r="AT159">
        <v>0.00032</v>
      </c>
      <c r="AV159">
        <v>0</v>
      </c>
    </row>
    <row r="160" spans="1:48" ht="12.75">
      <c r="A160">
        <f>ROW(Source!A54)</f>
        <v>54</v>
      </c>
      <c r="B160">
        <v>7700247</v>
      </c>
      <c r="C160">
        <v>7700239</v>
      </c>
      <c r="D160">
        <v>6333052</v>
      </c>
      <c r="E160">
        <v>1</v>
      </c>
      <c r="F160">
        <v>1</v>
      </c>
      <c r="G160">
        <v>1</v>
      </c>
      <c r="H160">
        <v>3</v>
      </c>
      <c r="I160" t="s">
        <v>478</v>
      </c>
      <c r="J160" t="s">
        <v>479</v>
      </c>
      <c r="K160" t="s">
        <v>480</v>
      </c>
      <c r="L160">
        <v>1355</v>
      </c>
      <c r="N160">
        <v>1010</v>
      </c>
      <c r="O160" t="s">
        <v>141</v>
      </c>
      <c r="P160" t="s">
        <v>141</v>
      </c>
      <c r="Q160">
        <v>100</v>
      </c>
      <c r="Y160">
        <v>3.06</v>
      </c>
      <c r="AA160">
        <v>234.51</v>
      </c>
      <c r="AB160">
        <v>0</v>
      </c>
      <c r="AC160">
        <v>0</v>
      </c>
      <c r="AD160">
        <v>0</v>
      </c>
      <c r="AN160">
        <v>0</v>
      </c>
      <c r="AO160">
        <v>1</v>
      </c>
      <c r="AP160">
        <v>0</v>
      </c>
      <c r="AQ160">
        <v>0</v>
      </c>
      <c r="AR160">
        <v>0</v>
      </c>
      <c r="AT160">
        <v>3.06</v>
      </c>
      <c r="AV160">
        <v>0</v>
      </c>
    </row>
    <row r="161" spans="1:48" ht="12.75">
      <c r="A161">
        <f>ROW(Source!A54)</f>
        <v>54</v>
      </c>
      <c r="B161">
        <v>7700248</v>
      </c>
      <c r="C161">
        <v>7700239</v>
      </c>
      <c r="D161">
        <v>6357753</v>
      </c>
      <c r="E161">
        <v>1</v>
      </c>
      <c r="F161">
        <v>1</v>
      </c>
      <c r="G161">
        <v>1</v>
      </c>
      <c r="H161">
        <v>3</v>
      </c>
      <c r="I161" t="s">
        <v>466</v>
      </c>
      <c r="J161" t="s">
        <v>467</v>
      </c>
      <c r="K161" t="s">
        <v>468</v>
      </c>
      <c r="L161">
        <v>1358</v>
      </c>
      <c r="N161">
        <v>1010</v>
      </c>
      <c r="O161" t="s">
        <v>211</v>
      </c>
      <c r="P161" t="s">
        <v>211</v>
      </c>
      <c r="Q161">
        <v>10</v>
      </c>
      <c r="Y161">
        <v>10.2</v>
      </c>
      <c r="AA161">
        <v>18.7</v>
      </c>
      <c r="AB161">
        <v>0</v>
      </c>
      <c r="AC161">
        <v>0</v>
      </c>
      <c r="AD161">
        <v>0</v>
      </c>
      <c r="AN161">
        <v>0</v>
      </c>
      <c r="AO161">
        <v>1</v>
      </c>
      <c r="AP161">
        <v>0</v>
      </c>
      <c r="AQ161">
        <v>0</v>
      </c>
      <c r="AR161">
        <v>0</v>
      </c>
      <c r="AT161">
        <v>10.2</v>
      </c>
      <c r="AV161">
        <v>0</v>
      </c>
    </row>
    <row r="162" spans="1:48" ht="12.75">
      <c r="A162">
        <f>ROW(Source!A54)</f>
        <v>54</v>
      </c>
      <c r="B162">
        <v>7700249</v>
      </c>
      <c r="C162">
        <v>7700239</v>
      </c>
      <c r="D162">
        <v>6357952</v>
      </c>
      <c r="E162">
        <v>1</v>
      </c>
      <c r="F162">
        <v>1</v>
      </c>
      <c r="G162">
        <v>1</v>
      </c>
      <c r="H162">
        <v>3</v>
      </c>
      <c r="I162" t="s">
        <v>481</v>
      </c>
      <c r="J162" t="s">
        <v>482</v>
      </c>
      <c r="K162" t="s">
        <v>483</v>
      </c>
      <c r="L162">
        <v>1355</v>
      </c>
      <c r="N162">
        <v>1010</v>
      </c>
      <c r="O162" t="s">
        <v>141</v>
      </c>
      <c r="P162" t="s">
        <v>141</v>
      </c>
      <c r="Q162">
        <v>100</v>
      </c>
      <c r="Y162">
        <v>2.06</v>
      </c>
      <c r="AA162">
        <v>0</v>
      </c>
      <c r="AB162">
        <v>0</v>
      </c>
      <c r="AC162">
        <v>0</v>
      </c>
      <c r="AD162">
        <v>0</v>
      </c>
      <c r="AN162">
        <v>0</v>
      </c>
      <c r="AO162">
        <v>1</v>
      </c>
      <c r="AP162">
        <v>0</v>
      </c>
      <c r="AQ162">
        <v>0</v>
      </c>
      <c r="AR162">
        <v>0</v>
      </c>
      <c r="AT162">
        <v>2.06</v>
      </c>
      <c r="AV162">
        <v>0</v>
      </c>
    </row>
    <row r="163" spans="1:48" ht="12.75">
      <c r="A163">
        <f>ROW(Source!A54)</f>
        <v>54</v>
      </c>
      <c r="B163">
        <v>7700250</v>
      </c>
      <c r="C163">
        <v>7700239</v>
      </c>
      <c r="D163">
        <v>6360819</v>
      </c>
      <c r="E163">
        <v>1</v>
      </c>
      <c r="F163">
        <v>1</v>
      </c>
      <c r="G163">
        <v>1</v>
      </c>
      <c r="H163">
        <v>3</v>
      </c>
      <c r="I163" t="s">
        <v>484</v>
      </c>
      <c r="J163" t="s">
        <v>485</v>
      </c>
      <c r="K163" t="s">
        <v>486</v>
      </c>
      <c r="L163">
        <v>1301</v>
      </c>
      <c r="N163">
        <v>1003</v>
      </c>
      <c r="O163" t="s">
        <v>107</v>
      </c>
      <c r="P163" t="s">
        <v>107</v>
      </c>
      <c r="Q163">
        <v>1</v>
      </c>
      <c r="Y163">
        <v>40</v>
      </c>
      <c r="AA163">
        <v>12.85</v>
      </c>
      <c r="AB163">
        <v>0</v>
      </c>
      <c r="AC163">
        <v>0</v>
      </c>
      <c r="AD163">
        <v>0</v>
      </c>
      <c r="AN163">
        <v>0</v>
      </c>
      <c r="AO163">
        <v>1</v>
      </c>
      <c r="AP163">
        <v>0</v>
      </c>
      <c r="AQ163">
        <v>0</v>
      </c>
      <c r="AR163">
        <v>0</v>
      </c>
      <c r="AT163">
        <v>40</v>
      </c>
      <c r="AV163">
        <v>0</v>
      </c>
    </row>
    <row r="164" spans="1:48" ht="12.75">
      <c r="A164">
        <f>ROW(Source!A55)</f>
        <v>55</v>
      </c>
      <c r="B164">
        <v>7700253</v>
      </c>
      <c r="C164">
        <v>7700251</v>
      </c>
      <c r="D164">
        <v>5603250</v>
      </c>
      <c r="E164">
        <v>1</v>
      </c>
      <c r="F164">
        <v>1</v>
      </c>
      <c r="G164">
        <v>1</v>
      </c>
      <c r="H164">
        <v>1</v>
      </c>
      <c r="I164" t="s">
        <v>399</v>
      </c>
      <c r="K164" t="s">
        <v>400</v>
      </c>
      <c r="L164">
        <v>1476</v>
      </c>
      <c r="N164">
        <v>1013</v>
      </c>
      <c r="O164" t="s">
        <v>271</v>
      </c>
      <c r="P164" t="s">
        <v>272</v>
      </c>
      <c r="Q164">
        <v>1</v>
      </c>
      <c r="Y164">
        <v>34.7</v>
      </c>
      <c r="AA164">
        <v>0</v>
      </c>
      <c r="AB164">
        <v>0</v>
      </c>
      <c r="AC164">
        <v>0</v>
      </c>
      <c r="AD164">
        <v>9.39</v>
      </c>
      <c r="AN164">
        <v>0</v>
      </c>
      <c r="AO164">
        <v>1</v>
      </c>
      <c r="AP164">
        <v>0</v>
      </c>
      <c r="AQ164">
        <v>0</v>
      </c>
      <c r="AR164">
        <v>0</v>
      </c>
      <c r="AT164">
        <v>34.7</v>
      </c>
      <c r="AV164">
        <v>1</v>
      </c>
    </row>
    <row r="165" spans="1:48" ht="12.75">
      <c r="A165">
        <f>ROW(Source!A55)</f>
        <v>55</v>
      </c>
      <c r="B165">
        <v>7700254</v>
      </c>
      <c r="C165">
        <v>7700251</v>
      </c>
      <c r="D165">
        <v>121548</v>
      </c>
      <c r="E165">
        <v>1</v>
      </c>
      <c r="F165">
        <v>1</v>
      </c>
      <c r="G165">
        <v>1</v>
      </c>
      <c r="H165">
        <v>1</v>
      </c>
      <c r="I165" t="s">
        <v>24</v>
      </c>
      <c r="K165" t="s">
        <v>273</v>
      </c>
      <c r="L165">
        <v>608254</v>
      </c>
      <c r="N165">
        <v>1013</v>
      </c>
      <c r="O165" t="s">
        <v>274</v>
      </c>
      <c r="P165" t="s">
        <v>274</v>
      </c>
      <c r="Q165">
        <v>1</v>
      </c>
      <c r="Y165">
        <v>0.44</v>
      </c>
      <c r="AA165">
        <v>0</v>
      </c>
      <c r="AB165">
        <v>0</v>
      </c>
      <c r="AC165">
        <v>0</v>
      </c>
      <c r="AD165">
        <v>0</v>
      </c>
      <c r="AN165">
        <v>0</v>
      </c>
      <c r="AO165">
        <v>1</v>
      </c>
      <c r="AP165">
        <v>0</v>
      </c>
      <c r="AQ165">
        <v>0</v>
      </c>
      <c r="AR165">
        <v>0</v>
      </c>
      <c r="AT165">
        <v>0.44</v>
      </c>
      <c r="AV165">
        <v>2</v>
      </c>
    </row>
    <row r="166" spans="1:48" ht="12.75">
      <c r="A166">
        <f>ROW(Source!A55)</f>
        <v>55</v>
      </c>
      <c r="B166">
        <v>7700255</v>
      </c>
      <c r="C166">
        <v>7700251</v>
      </c>
      <c r="D166">
        <v>6298444</v>
      </c>
      <c r="E166">
        <v>1</v>
      </c>
      <c r="F166">
        <v>1</v>
      </c>
      <c r="G166">
        <v>1</v>
      </c>
      <c r="H166">
        <v>2</v>
      </c>
      <c r="I166" t="s">
        <v>275</v>
      </c>
      <c r="J166" t="s">
        <v>276</v>
      </c>
      <c r="K166" t="s">
        <v>277</v>
      </c>
      <c r="L166">
        <v>1480</v>
      </c>
      <c r="N166">
        <v>1013</v>
      </c>
      <c r="O166" t="s">
        <v>278</v>
      </c>
      <c r="P166" t="s">
        <v>279</v>
      </c>
      <c r="Q166">
        <v>1</v>
      </c>
      <c r="Y166">
        <v>0.22</v>
      </c>
      <c r="AA166">
        <v>0</v>
      </c>
      <c r="AB166">
        <v>134.99</v>
      </c>
      <c r="AC166">
        <v>11.81</v>
      </c>
      <c r="AD166">
        <v>0</v>
      </c>
      <c r="AN166">
        <v>0</v>
      </c>
      <c r="AO166">
        <v>1</v>
      </c>
      <c r="AP166">
        <v>0</v>
      </c>
      <c r="AQ166">
        <v>0</v>
      </c>
      <c r="AR166">
        <v>0</v>
      </c>
      <c r="AT166">
        <v>0.22</v>
      </c>
      <c r="AV166">
        <v>0</v>
      </c>
    </row>
    <row r="167" spans="1:48" ht="12.75">
      <c r="A167">
        <f>ROW(Source!A55)</f>
        <v>55</v>
      </c>
      <c r="B167">
        <v>7700256</v>
      </c>
      <c r="C167">
        <v>7700251</v>
      </c>
      <c r="D167">
        <v>6298559</v>
      </c>
      <c r="E167">
        <v>1</v>
      </c>
      <c r="F167">
        <v>1</v>
      </c>
      <c r="G167">
        <v>1</v>
      </c>
      <c r="H167">
        <v>2</v>
      </c>
      <c r="I167" t="s">
        <v>280</v>
      </c>
      <c r="J167" t="s">
        <v>281</v>
      </c>
      <c r="K167" t="s">
        <v>282</v>
      </c>
      <c r="L167">
        <v>1368</v>
      </c>
      <c r="N167">
        <v>1011</v>
      </c>
      <c r="O167" t="s">
        <v>283</v>
      </c>
      <c r="P167" t="s">
        <v>283</v>
      </c>
      <c r="Q167">
        <v>1</v>
      </c>
      <c r="Y167">
        <v>17.9</v>
      </c>
      <c r="AA167">
        <v>0</v>
      </c>
      <c r="AB167">
        <v>2.94</v>
      </c>
      <c r="AC167">
        <v>0</v>
      </c>
      <c r="AD167">
        <v>0</v>
      </c>
      <c r="AN167">
        <v>0</v>
      </c>
      <c r="AO167">
        <v>1</v>
      </c>
      <c r="AP167">
        <v>0</v>
      </c>
      <c r="AQ167">
        <v>0</v>
      </c>
      <c r="AR167">
        <v>0</v>
      </c>
      <c r="AT167">
        <v>17.9</v>
      </c>
      <c r="AV167">
        <v>0</v>
      </c>
    </row>
    <row r="168" spans="1:48" ht="12.75">
      <c r="A168">
        <f>ROW(Source!A55)</f>
        <v>55</v>
      </c>
      <c r="B168">
        <v>7700257</v>
      </c>
      <c r="C168">
        <v>7700251</v>
      </c>
      <c r="D168">
        <v>6300385</v>
      </c>
      <c r="E168">
        <v>1</v>
      </c>
      <c r="F168">
        <v>1</v>
      </c>
      <c r="G168">
        <v>1</v>
      </c>
      <c r="H168">
        <v>2</v>
      </c>
      <c r="I168" t="s">
        <v>324</v>
      </c>
      <c r="J168" t="s">
        <v>322</v>
      </c>
      <c r="K168" t="s">
        <v>325</v>
      </c>
      <c r="L168">
        <v>1368</v>
      </c>
      <c r="N168">
        <v>1011</v>
      </c>
      <c r="O168" t="s">
        <v>283</v>
      </c>
      <c r="P168" t="s">
        <v>283</v>
      </c>
      <c r="Q168">
        <v>1</v>
      </c>
      <c r="Y168">
        <v>4.44</v>
      </c>
      <c r="AA168">
        <v>0</v>
      </c>
      <c r="AB168">
        <v>0.56</v>
      </c>
      <c r="AC168">
        <v>0</v>
      </c>
      <c r="AD168">
        <v>0</v>
      </c>
      <c r="AN168">
        <v>0</v>
      </c>
      <c r="AO168">
        <v>1</v>
      </c>
      <c r="AP168">
        <v>0</v>
      </c>
      <c r="AQ168">
        <v>0</v>
      </c>
      <c r="AR168">
        <v>0</v>
      </c>
      <c r="AT168">
        <v>4.44</v>
      </c>
      <c r="AV168">
        <v>0</v>
      </c>
    </row>
    <row r="169" spans="1:48" ht="12.75">
      <c r="A169">
        <f>ROW(Source!A55)</f>
        <v>55</v>
      </c>
      <c r="B169">
        <v>7700258</v>
      </c>
      <c r="C169">
        <v>7700251</v>
      </c>
      <c r="D169">
        <v>6300746</v>
      </c>
      <c r="E169">
        <v>1</v>
      </c>
      <c r="F169">
        <v>1</v>
      </c>
      <c r="G169">
        <v>1</v>
      </c>
      <c r="H169">
        <v>2</v>
      </c>
      <c r="I169" t="s">
        <v>374</v>
      </c>
      <c r="J169" t="s">
        <v>375</v>
      </c>
      <c r="K169" t="s">
        <v>376</v>
      </c>
      <c r="L169">
        <v>1368</v>
      </c>
      <c r="N169">
        <v>1011</v>
      </c>
      <c r="O169" t="s">
        <v>283</v>
      </c>
      <c r="P169" t="s">
        <v>283</v>
      </c>
      <c r="Q169">
        <v>1</v>
      </c>
      <c r="Y169">
        <v>0.22</v>
      </c>
      <c r="AA169">
        <v>0</v>
      </c>
      <c r="AB169">
        <v>70.53</v>
      </c>
      <c r="AC169">
        <v>33.66</v>
      </c>
      <c r="AD169">
        <v>0</v>
      </c>
      <c r="AN169">
        <v>0</v>
      </c>
      <c r="AO169">
        <v>1</v>
      </c>
      <c r="AP169">
        <v>0</v>
      </c>
      <c r="AQ169">
        <v>0</v>
      </c>
      <c r="AR169">
        <v>0</v>
      </c>
      <c r="AT169">
        <v>0.22</v>
      </c>
      <c r="AV169">
        <v>0</v>
      </c>
    </row>
    <row r="170" spans="1:48" ht="12.75">
      <c r="A170">
        <f>ROW(Source!A55)</f>
        <v>55</v>
      </c>
      <c r="B170">
        <v>7700259</v>
      </c>
      <c r="C170">
        <v>7700251</v>
      </c>
      <c r="D170">
        <v>6330651</v>
      </c>
      <c r="E170">
        <v>1</v>
      </c>
      <c r="F170">
        <v>1</v>
      </c>
      <c r="G170">
        <v>1</v>
      </c>
      <c r="H170">
        <v>3</v>
      </c>
      <c r="I170" t="s">
        <v>421</v>
      </c>
      <c r="J170" t="s">
        <v>422</v>
      </c>
      <c r="K170" t="s">
        <v>423</v>
      </c>
      <c r="L170">
        <v>1348</v>
      </c>
      <c r="N170">
        <v>1009</v>
      </c>
      <c r="O170" t="s">
        <v>293</v>
      </c>
      <c r="P170" t="s">
        <v>293</v>
      </c>
      <c r="Q170">
        <v>1000</v>
      </c>
      <c r="Y170">
        <v>0.00218</v>
      </c>
      <c r="AA170">
        <v>17546.81</v>
      </c>
      <c r="AB170">
        <v>0</v>
      </c>
      <c r="AC170">
        <v>0</v>
      </c>
      <c r="AD170">
        <v>0</v>
      </c>
      <c r="AN170">
        <v>0</v>
      </c>
      <c r="AO170">
        <v>1</v>
      </c>
      <c r="AP170">
        <v>0</v>
      </c>
      <c r="AQ170">
        <v>0</v>
      </c>
      <c r="AR170">
        <v>0</v>
      </c>
      <c r="AT170">
        <v>0.00218</v>
      </c>
      <c r="AV170">
        <v>0</v>
      </c>
    </row>
    <row r="171" spans="1:48" ht="12.75">
      <c r="A171">
        <f>ROW(Source!A55)</f>
        <v>55</v>
      </c>
      <c r="B171">
        <v>7700260</v>
      </c>
      <c r="C171">
        <v>7700251</v>
      </c>
      <c r="D171">
        <v>6331350</v>
      </c>
      <c r="E171">
        <v>1</v>
      </c>
      <c r="F171">
        <v>1</v>
      </c>
      <c r="G171">
        <v>1</v>
      </c>
      <c r="H171">
        <v>3</v>
      </c>
      <c r="I171" t="s">
        <v>377</v>
      </c>
      <c r="J171" t="s">
        <v>378</v>
      </c>
      <c r="K171" t="s">
        <v>379</v>
      </c>
      <c r="L171">
        <v>1348</v>
      </c>
      <c r="N171">
        <v>1009</v>
      </c>
      <c r="O171" t="s">
        <v>293</v>
      </c>
      <c r="P171" t="s">
        <v>293</v>
      </c>
      <c r="Q171">
        <v>1000</v>
      </c>
      <c r="Y171">
        <v>0.003</v>
      </c>
      <c r="AA171">
        <v>12122.7</v>
      </c>
      <c r="AB171">
        <v>0</v>
      </c>
      <c r="AC171">
        <v>0</v>
      </c>
      <c r="AD171">
        <v>0</v>
      </c>
      <c r="AN171">
        <v>0</v>
      </c>
      <c r="AO171">
        <v>1</v>
      </c>
      <c r="AP171">
        <v>0</v>
      </c>
      <c r="AQ171">
        <v>0</v>
      </c>
      <c r="AR171">
        <v>0</v>
      </c>
      <c r="AT171">
        <v>0.003</v>
      </c>
      <c r="AV171">
        <v>0</v>
      </c>
    </row>
    <row r="172" spans="1:48" ht="12.75">
      <c r="A172">
        <f>ROW(Source!A55)</f>
        <v>55</v>
      </c>
      <c r="B172">
        <v>7700261</v>
      </c>
      <c r="C172">
        <v>7700251</v>
      </c>
      <c r="D172">
        <v>6332265</v>
      </c>
      <c r="E172">
        <v>1</v>
      </c>
      <c r="F172">
        <v>1</v>
      </c>
      <c r="G172">
        <v>1</v>
      </c>
      <c r="H172">
        <v>3</v>
      </c>
      <c r="I172" t="s">
        <v>487</v>
      </c>
      <c r="J172" t="s">
        <v>488</v>
      </c>
      <c r="K172" t="s">
        <v>489</v>
      </c>
      <c r="L172">
        <v>1348</v>
      </c>
      <c r="N172">
        <v>1009</v>
      </c>
      <c r="O172" t="s">
        <v>293</v>
      </c>
      <c r="P172" t="s">
        <v>293</v>
      </c>
      <c r="Q172">
        <v>1000</v>
      </c>
      <c r="Y172">
        <v>0.0515</v>
      </c>
      <c r="AA172">
        <v>4527.79</v>
      </c>
      <c r="AB172">
        <v>0</v>
      </c>
      <c r="AC172">
        <v>0</v>
      </c>
      <c r="AD172">
        <v>0</v>
      </c>
      <c r="AN172">
        <v>0</v>
      </c>
      <c r="AO172">
        <v>1</v>
      </c>
      <c r="AP172">
        <v>0</v>
      </c>
      <c r="AQ172">
        <v>0</v>
      </c>
      <c r="AR172">
        <v>0</v>
      </c>
      <c r="AT172">
        <v>0.0515</v>
      </c>
      <c r="AV172">
        <v>0</v>
      </c>
    </row>
    <row r="173" spans="1:48" ht="12.75">
      <c r="A173">
        <f>ROW(Source!A55)</f>
        <v>55</v>
      </c>
      <c r="B173">
        <v>7700262</v>
      </c>
      <c r="C173">
        <v>7700251</v>
      </c>
      <c r="D173">
        <v>6332387</v>
      </c>
      <c r="E173">
        <v>1</v>
      </c>
      <c r="F173">
        <v>1</v>
      </c>
      <c r="G173">
        <v>1</v>
      </c>
      <c r="H173">
        <v>3</v>
      </c>
      <c r="I173" t="s">
        <v>404</v>
      </c>
      <c r="J173" t="s">
        <v>405</v>
      </c>
      <c r="K173" t="s">
        <v>406</v>
      </c>
      <c r="L173">
        <v>1346</v>
      </c>
      <c r="N173">
        <v>1009</v>
      </c>
      <c r="O173" t="s">
        <v>306</v>
      </c>
      <c r="P173" t="s">
        <v>306</v>
      </c>
      <c r="Q173">
        <v>1</v>
      </c>
      <c r="Y173">
        <v>1.05</v>
      </c>
      <c r="AA173">
        <v>9.45</v>
      </c>
      <c r="AB173">
        <v>0</v>
      </c>
      <c r="AC173">
        <v>0</v>
      </c>
      <c r="AD173">
        <v>0</v>
      </c>
      <c r="AN173">
        <v>0</v>
      </c>
      <c r="AO173">
        <v>1</v>
      </c>
      <c r="AP173">
        <v>0</v>
      </c>
      <c r="AQ173">
        <v>0</v>
      </c>
      <c r="AR173">
        <v>0</v>
      </c>
      <c r="AT173">
        <v>1.05</v>
      </c>
      <c r="AV173">
        <v>0</v>
      </c>
    </row>
    <row r="174" spans="1:48" ht="12.75">
      <c r="A174">
        <f>ROW(Source!A55)</f>
        <v>55</v>
      </c>
      <c r="B174">
        <v>7700263</v>
      </c>
      <c r="C174">
        <v>7700251</v>
      </c>
      <c r="D174">
        <v>6333044</v>
      </c>
      <c r="E174">
        <v>1</v>
      </c>
      <c r="F174">
        <v>1</v>
      </c>
      <c r="G174">
        <v>1</v>
      </c>
      <c r="H174">
        <v>3</v>
      </c>
      <c r="I174" t="s">
        <v>490</v>
      </c>
      <c r="J174" t="s">
        <v>491</v>
      </c>
      <c r="K174" t="s">
        <v>492</v>
      </c>
      <c r="L174">
        <v>1358</v>
      </c>
      <c r="N174">
        <v>1010</v>
      </c>
      <c r="O174" t="s">
        <v>211</v>
      </c>
      <c r="P174" t="s">
        <v>211</v>
      </c>
      <c r="Q174">
        <v>10</v>
      </c>
      <c r="Y174">
        <v>21.8</v>
      </c>
      <c r="AA174">
        <v>3.09</v>
      </c>
      <c r="AB174">
        <v>0</v>
      </c>
      <c r="AC174">
        <v>0</v>
      </c>
      <c r="AD174">
        <v>0</v>
      </c>
      <c r="AN174">
        <v>0</v>
      </c>
      <c r="AO174">
        <v>1</v>
      </c>
      <c r="AP174">
        <v>0</v>
      </c>
      <c r="AQ174">
        <v>0</v>
      </c>
      <c r="AR174">
        <v>0</v>
      </c>
      <c r="AT174">
        <v>21.8</v>
      </c>
      <c r="AV174">
        <v>0</v>
      </c>
    </row>
    <row r="175" spans="1:48" ht="12.75">
      <c r="A175">
        <f>ROW(Source!A55)</f>
        <v>55</v>
      </c>
      <c r="B175">
        <v>7700264</v>
      </c>
      <c r="C175">
        <v>7700251</v>
      </c>
      <c r="D175">
        <v>6333130</v>
      </c>
      <c r="E175">
        <v>1</v>
      </c>
      <c r="F175">
        <v>1</v>
      </c>
      <c r="G175">
        <v>1</v>
      </c>
      <c r="H175">
        <v>3</v>
      </c>
      <c r="I175" t="s">
        <v>493</v>
      </c>
      <c r="J175" t="s">
        <v>494</v>
      </c>
      <c r="K175" t="s">
        <v>495</v>
      </c>
      <c r="L175">
        <v>1358</v>
      </c>
      <c r="N175">
        <v>1010</v>
      </c>
      <c r="O175" t="s">
        <v>211</v>
      </c>
      <c r="P175" t="s">
        <v>211</v>
      </c>
      <c r="Q175">
        <v>10</v>
      </c>
      <c r="Y175">
        <v>21.8</v>
      </c>
      <c r="AA175">
        <v>7.02</v>
      </c>
      <c r="AB175">
        <v>0</v>
      </c>
      <c r="AC175">
        <v>0</v>
      </c>
      <c r="AD175">
        <v>0</v>
      </c>
      <c r="AN175">
        <v>0</v>
      </c>
      <c r="AO175">
        <v>1</v>
      </c>
      <c r="AP175">
        <v>0</v>
      </c>
      <c r="AQ175">
        <v>0</v>
      </c>
      <c r="AR175">
        <v>0</v>
      </c>
      <c r="AT175">
        <v>21.8</v>
      </c>
      <c r="AV175">
        <v>0</v>
      </c>
    </row>
    <row r="176" spans="1:48" ht="12.75">
      <c r="A176">
        <f>ROW(Source!A55)</f>
        <v>55</v>
      </c>
      <c r="B176">
        <v>7700265</v>
      </c>
      <c r="C176">
        <v>7700251</v>
      </c>
      <c r="D176">
        <v>6335925</v>
      </c>
      <c r="E176">
        <v>1</v>
      </c>
      <c r="F176">
        <v>1</v>
      </c>
      <c r="G176">
        <v>1</v>
      </c>
      <c r="H176">
        <v>3</v>
      </c>
      <c r="I176" t="s">
        <v>496</v>
      </c>
      <c r="J176" t="s">
        <v>497</v>
      </c>
      <c r="K176" t="s">
        <v>498</v>
      </c>
      <c r="L176">
        <v>1354</v>
      </c>
      <c r="N176">
        <v>1010</v>
      </c>
      <c r="O176" t="s">
        <v>20</v>
      </c>
      <c r="P176" t="s">
        <v>20</v>
      </c>
      <c r="Q176">
        <v>1</v>
      </c>
      <c r="Y176">
        <v>10</v>
      </c>
      <c r="AA176">
        <v>0.71</v>
      </c>
      <c r="AB176">
        <v>0</v>
      </c>
      <c r="AC176">
        <v>0</v>
      </c>
      <c r="AD176">
        <v>0</v>
      </c>
      <c r="AN176">
        <v>0</v>
      </c>
      <c r="AO176">
        <v>1</v>
      </c>
      <c r="AP176">
        <v>0</v>
      </c>
      <c r="AQ176">
        <v>0</v>
      </c>
      <c r="AR176">
        <v>0</v>
      </c>
      <c r="AT176">
        <v>10</v>
      </c>
      <c r="AV176">
        <v>0</v>
      </c>
    </row>
    <row r="177" spans="1:48" ht="12.75">
      <c r="A177">
        <f>ROW(Source!A55)</f>
        <v>55</v>
      </c>
      <c r="B177">
        <v>7700270</v>
      </c>
      <c r="C177">
        <v>7700251</v>
      </c>
      <c r="D177">
        <v>6342322</v>
      </c>
      <c r="E177">
        <v>1</v>
      </c>
      <c r="F177">
        <v>1</v>
      </c>
      <c r="G177">
        <v>1</v>
      </c>
      <c r="H177">
        <v>3</v>
      </c>
      <c r="I177" t="s">
        <v>135</v>
      </c>
      <c r="J177" t="s">
        <v>137</v>
      </c>
      <c r="K177" t="s">
        <v>136</v>
      </c>
      <c r="L177">
        <v>1301</v>
      </c>
      <c r="N177">
        <v>1003</v>
      </c>
      <c r="O177" t="s">
        <v>107</v>
      </c>
      <c r="P177" t="s">
        <v>107</v>
      </c>
      <c r="Q177">
        <v>1</v>
      </c>
      <c r="Y177">
        <v>100</v>
      </c>
      <c r="AA177">
        <v>8.12</v>
      </c>
      <c r="AB177">
        <v>0</v>
      </c>
      <c r="AC177">
        <v>0</v>
      </c>
      <c r="AD177">
        <v>0</v>
      </c>
      <c r="AN177">
        <v>0</v>
      </c>
      <c r="AO177">
        <v>0</v>
      </c>
      <c r="AP177">
        <v>2</v>
      </c>
      <c r="AQ177">
        <v>0</v>
      </c>
      <c r="AR177">
        <v>0</v>
      </c>
      <c r="AT177">
        <v>100</v>
      </c>
      <c r="AV177">
        <v>0</v>
      </c>
    </row>
    <row r="178" spans="1:48" ht="12.75">
      <c r="A178">
        <f>ROW(Source!A55)</f>
        <v>55</v>
      </c>
      <c r="B178">
        <v>7700266</v>
      </c>
      <c r="C178">
        <v>7700251</v>
      </c>
      <c r="D178">
        <v>6357723</v>
      </c>
      <c r="E178">
        <v>1</v>
      </c>
      <c r="F178">
        <v>1</v>
      </c>
      <c r="G178">
        <v>1</v>
      </c>
      <c r="H178">
        <v>3</v>
      </c>
      <c r="I178" t="s">
        <v>499</v>
      </c>
      <c r="J178" t="s">
        <v>500</v>
      </c>
      <c r="K178" t="s">
        <v>501</v>
      </c>
      <c r="L178">
        <v>1358</v>
      </c>
      <c r="N178">
        <v>1010</v>
      </c>
      <c r="O178" t="s">
        <v>211</v>
      </c>
      <c r="P178" t="s">
        <v>211</v>
      </c>
      <c r="Q178">
        <v>10</v>
      </c>
      <c r="Y178">
        <v>25</v>
      </c>
      <c r="AA178">
        <v>64.8</v>
      </c>
      <c r="AB178">
        <v>0</v>
      </c>
      <c r="AC178">
        <v>0</v>
      </c>
      <c r="AD178">
        <v>0</v>
      </c>
      <c r="AN178">
        <v>0</v>
      </c>
      <c r="AO178">
        <v>1</v>
      </c>
      <c r="AP178">
        <v>0</v>
      </c>
      <c r="AQ178">
        <v>0</v>
      </c>
      <c r="AR178">
        <v>0</v>
      </c>
      <c r="AT178">
        <v>25</v>
      </c>
      <c r="AV178">
        <v>0</v>
      </c>
    </row>
    <row r="179" spans="1:48" ht="12.75">
      <c r="A179">
        <f>ROW(Source!A55)</f>
        <v>55</v>
      </c>
      <c r="B179">
        <v>7700267</v>
      </c>
      <c r="C179">
        <v>7700251</v>
      </c>
      <c r="D179">
        <v>6357765</v>
      </c>
      <c r="E179">
        <v>1</v>
      </c>
      <c r="F179">
        <v>1</v>
      </c>
      <c r="G179">
        <v>1</v>
      </c>
      <c r="H179">
        <v>3</v>
      </c>
      <c r="I179" t="s">
        <v>469</v>
      </c>
      <c r="J179" t="s">
        <v>470</v>
      </c>
      <c r="K179" t="s">
        <v>471</v>
      </c>
      <c r="L179">
        <v>1354</v>
      </c>
      <c r="N179">
        <v>1010</v>
      </c>
      <c r="O179" t="s">
        <v>20</v>
      </c>
      <c r="P179" t="s">
        <v>20</v>
      </c>
      <c r="Q179">
        <v>1</v>
      </c>
      <c r="Y179">
        <v>10</v>
      </c>
      <c r="AA179">
        <v>0</v>
      </c>
      <c r="AB179">
        <v>0</v>
      </c>
      <c r="AC179">
        <v>0</v>
      </c>
      <c r="AD179">
        <v>0</v>
      </c>
      <c r="AN179">
        <v>0</v>
      </c>
      <c r="AO179">
        <v>1</v>
      </c>
      <c r="AP179">
        <v>0</v>
      </c>
      <c r="AQ179">
        <v>0</v>
      </c>
      <c r="AR179">
        <v>0</v>
      </c>
      <c r="AT179">
        <v>10</v>
      </c>
      <c r="AV179">
        <v>0</v>
      </c>
    </row>
    <row r="180" spans="1:48" ht="12.75">
      <c r="A180">
        <f>ROW(Source!A55)</f>
        <v>55</v>
      </c>
      <c r="B180">
        <v>7700268</v>
      </c>
      <c r="C180">
        <v>7700251</v>
      </c>
      <c r="D180">
        <v>6357777</v>
      </c>
      <c r="E180">
        <v>1</v>
      </c>
      <c r="F180">
        <v>1</v>
      </c>
      <c r="G180">
        <v>1</v>
      </c>
      <c r="H180">
        <v>3</v>
      </c>
      <c r="I180" t="s">
        <v>502</v>
      </c>
      <c r="J180" t="s">
        <v>503</v>
      </c>
      <c r="K180" t="s">
        <v>504</v>
      </c>
      <c r="L180">
        <v>1358</v>
      </c>
      <c r="N180">
        <v>1010</v>
      </c>
      <c r="O180" t="s">
        <v>211</v>
      </c>
      <c r="P180" t="s">
        <v>211</v>
      </c>
      <c r="Q180">
        <v>10</v>
      </c>
      <c r="Y180">
        <v>1</v>
      </c>
      <c r="AA180">
        <v>277.5</v>
      </c>
      <c r="AB180">
        <v>0</v>
      </c>
      <c r="AC180">
        <v>0</v>
      </c>
      <c r="AD180">
        <v>0</v>
      </c>
      <c r="AN180">
        <v>0</v>
      </c>
      <c r="AO180">
        <v>1</v>
      </c>
      <c r="AP180">
        <v>0</v>
      </c>
      <c r="AQ180">
        <v>0</v>
      </c>
      <c r="AR180">
        <v>0</v>
      </c>
      <c r="AT180">
        <v>1</v>
      </c>
      <c r="AV180">
        <v>0</v>
      </c>
    </row>
    <row r="181" spans="1:48" ht="12.75">
      <c r="A181">
        <f>ROW(Source!A55)</f>
        <v>55</v>
      </c>
      <c r="B181">
        <v>7700269</v>
      </c>
      <c r="C181">
        <v>7700251</v>
      </c>
      <c r="D181">
        <v>6357779</v>
      </c>
      <c r="E181">
        <v>1</v>
      </c>
      <c r="F181">
        <v>1</v>
      </c>
      <c r="G181">
        <v>1</v>
      </c>
      <c r="H181">
        <v>3</v>
      </c>
      <c r="I181" t="s">
        <v>505</v>
      </c>
      <c r="J181" t="s">
        <v>506</v>
      </c>
      <c r="K181" t="s">
        <v>507</v>
      </c>
      <c r="L181">
        <v>1354</v>
      </c>
      <c r="N181">
        <v>1010</v>
      </c>
      <c r="O181" t="s">
        <v>20</v>
      </c>
      <c r="P181" t="s">
        <v>20</v>
      </c>
      <c r="Q181">
        <v>1</v>
      </c>
      <c r="Y181">
        <v>5</v>
      </c>
      <c r="AA181">
        <v>0</v>
      </c>
      <c r="AB181">
        <v>0</v>
      </c>
      <c r="AC181">
        <v>0</v>
      </c>
      <c r="AD181">
        <v>0</v>
      </c>
      <c r="AN181">
        <v>0</v>
      </c>
      <c r="AO181">
        <v>1</v>
      </c>
      <c r="AP181">
        <v>0</v>
      </c>
      <c r="AQ181">
        <v>0</v>
      </c>
      <c r="AR181">
        <v>0</v>
      </c>
      <c r="AT181">
        <v>5</v>
      </c>
      <c r="AV181">
        <v>0</v>
      </c>
    </row>
    <row r="182" spans="1:48" ht="12.75">
      <c r="A182">
        <f>ROW(Source!A57)</f>
        <v>57</v>
      </c>
      <c r="B182">
        <v>7700274</v>
      </c>
      <c r="C182">
        <v>7700272</v>
      </c>
      <c r="D182">
        <v>5612288</v>
      </c>
      <c r="E182">
        <v>1</v>
      </c>
      <c r="F182">
        <v>1</v>
      </c>
      <c r="G182">
        <v>1</v>
      </c>
      <c r="H182">
        <v>1</v>
      </c>
      <c r="I182" t="s">
        <v>319</v>
      </c>
      <c r="K182" t="s">
        <v>320</v>
      </c>
      <c r="L182">
        <v>1476</v>
      </c>
      <c r="N182">
        <v>1013</v>
      </c>
      <c r="O182" t="s">
        <v>271</v>
      </c>
      <c r="P182" t="s">
        <v>272</v>
      </c>
      <c r="Q182">
        <v>1</v>
      </c>
      <c r="Y182">
        <v>16.8</v>
      </c>
      <c r="AA182">
        <v>0</v>
      </c>
      <c r="AB182">
        <v>0</v>
      </c>
      <c r="AC182">
        <v>0</v>
      </c>
      <c r="AD182">
        <v>9.91</v>
      </c>
      <c r="AN182">
        <v>0</v>
      </c>
      <c r="AO182">
        <v>1</v>
      </c>
      <c r="AP182">
        <v>0</v>
      </c>
      <c r="AQ182">
        <v>0</v>
      </c>
      <c r="AR182">
        <v>0</v>
      </c>
      <c r="AT182">
        <v>16.8</v>
      </c>
      <c r="AV182">
        <v>1</v>
      </c>
    </row>
    <row r="183" spans="1:48" ht="12.75">
      <c r="A183">
        <f>ROW(Source!A57)</f>
        <v>57</v>
      </c>
      <c r="B183">
        <v>7700275</v>
      </c>
      <c r="C183">
        <v>7700272</v>
      </c>
      <c r="D183">
        <v>121548</v>
      </c>
      <c r="E183">
        <v>1</v>
      </c>
      <c r="F183">
        <v>1</v>
      </c>
      <c r="G183">
        <v>1</v>
      </c>
      <c r="H183">
        <v>1</v>
      </c>
      <c r="I183" t="s">
        <v>24</v>
      </c>
      <c r="K183" t="s">
        <v>273</v>
      </c>
      <c r="L183">
        <v>608254</v>
      </c>
      <c r="N183">
        <v>1013</v>
      </c>
      <c r="O183" t="s">
        <v>274</v>
      </c>
      <c r="P183" t="s">
        <v>274</v>
      </c>
      <c r="Q183">
        <v>1</v>
      </c>
      <c r="Y183">
        <v>0.02</v>
      </c>
      <c r="AA183">
        <v>0</v>
      </c>
      <c r="AB183">
        <v>0</v>
      </c>
      <c r="AC183">
        <v>0</v>
      </c>
      <c r="AD183">
        <v>0</v>
      </c>
      <c r="AN183">
        <v>0</v>
      </c>
      <c r="AO183">
        <v>1</v>
      </c>
      <c r="AP183">
        <v>0</v>
      </c>
      <c r="AQ183">
        <v>0</v>
      </c>
      <c r="AR183">
        <v>0</v>
      </c>
      <c r="AT183">
        <v>0.02</v>
      </c>
      <c r="AV183">
        <v>2</v>
      </c>
    </row>
    <row r="184" spans="1:48" ht="12.75">
      <c r="A184">
        <f>ROW(Source!A57)</f>
        <v>57</v>
      </c>
      <c r="B184">
        <v>7700276</v>
      </c>
      <c r="C184">
        <v>7700272</v>
      </c>
      <c r="D184">
        <v>6298444</v>
      </c>
      <c r="E184">
        <v>1</v>
      </c>
      <c r="F184">
        <v>1</v>
      </c>
      <c r="G184">
        <v>1</v>
      </c>
      <c r="H184">
        <v>2</v>
      </c>
      <c r="I184" t="s">
        <v>275</v>
      </c>
      <c r="J184" t="s">
        <v>276</v>
      </c>
      <c r="K184" t="s">
        <v>277</v>
      </c>
      <c r="L184">
        <v>1480</v>
      </c>
      <c r="N184">
        <v>1013</v>
      </c>
      <c r="O184" t="s">
        <v>278</v>
      </c>
      <c r="P184" t="s">
        <v>279</v>
      </c>
      <c r="Q184">
        <v>1</v>
      </c>
      <c r="Y184">
        <v>0.01</v>
      </c>
      <c r="AA184">
        <v>0</v>
      </c>
      <c r="AB184">
        <v>134.99</v>
      </c>
      <c r="AC184">
        <v>11.81</v>
      </c>
      <c r="AD184">
        <v>0</v>
      </c>
      <c r="AN184">
        <v>0</v>
      </c>
      <c r="AO184">
        <v>1</v>
      </c>
      <c r="AP184">
        <v>0</v>
      </c>
      <c r="AQ184">
        <v>0</v>
      </c>
      <c r="AR184">
        <v>0</v>
      </c>
      <c r="AT184">
        <v>0.01</v>
      </c>
      <c r="AV184">
        <v>0</v>
      </c>
    </row>
    <row r="185" spans="1:48" ht="12.75">
      <c r="A185">
        <f>ROW(Source!A57)</f>
        <v>57</v>
      </c>
      <c r="B185">
        <v>7700277</v>
      </c>
      <c r="C185">
        <v>7700272</v>
      </c>
      <c r="D185">
        <v>6300746</v>
      </c>
      <c r="E185">
        <v>1</v>
      </c>
      <c r="F185">
        <v>1</v>
      </c>
      <c r="G185">
        <v>1</v>
      </c>
      <c r="H185">
        <v>2</v>
      </c>
      <c r="I185" t="s">
        <v>374</v>
      </c>
      <c r="J185" t="s">
        <v>375</v>
      </c>
      <c r="K185" t="s">
        <v>376</v>
      </c>
      <c r="L185">
        <v>1368</v>
      </c>
      <c r="N185">
        <v>1011</v>
      </c>
      <c r="O185" t="s">
        <v>283</v>
      </c>
      <c r="P185" t="s">
        <v>283</v>
      </c>
      <c r="Q185">
        <v>1</v>
      </c>
      <c r="Y185">
        <v>0.01</v>
      </c>
      <c r="AA185">
        <v>0</v>
      </c>
      <c r="AB185">
        <v>70.53</v>
      </c>
      <c r="AC185">
        <v>33.66</v>
      </c>
      <c r="AD185">
        <v>0</v>
      </c>
      <c r="AN185">
        <v>0</v>
      </c>
      <c r="AO185">
        <v>1</v>
      </c>
      <c r="AP185">
        <v>0</v>
      </c>
      <c r="AQ185">
        <v>0</v>
      </c>
      <c r="AR185">
        <v>0</v>
      </c>
      <c r="AT185">
        <v>0.01</v>
      </c>
      <c r="AV185">
        <v>0</v>
      </c>
    </row>
    <row r="186" spans="1:48" ht="12.75">
      <c r="A186">
        <f>ROW(Source!A57)</f>
        <v>57</v>
      </c>
      <c r="B186">
        <v>7700278</v>
      </c>
      <c r="C186">
        <v>7700272</v>
      </c>
      <c r="D186">
        <v>6331037</v>
      </c>
      <c r="E186">
        <v>1</v>
      </c>
      <c r="F186">
        <v>1</v>
      </c>
      <c r="G186">
        <v>1</v>
      </c>
      <c r="H186">
        <v>3</v>
      </c>
      <c r="I186" t="s">
        <v>508</v>
      </c>
      <c r="J186" t="s">
        <v>509</v>
      </c>
      <c r="K186" t="s">
        <v>510</v>
      </c>
      <c r="L186">
        <v>1348</v>
      </c>
      <c r="N186">
        <v>1009</v>
      </c>
      <c r="O186" t="s">
        <v>293</v>
      </c>
      <c r="P186" t="s">
        <v>293</v>
      </c>
      <c r="Q186">
        <v>1000</v>
      </c>
      <c r="Y186">
        <v>0.0001</v>
      </c>
      <c r="AA186">
        <v>34662.77</v>
      </c>
      <c r="AB186">
        <v>0</v>
      </c>
      <c r="AC186">
        <v>0</v>
      </c>
      <c r="AD186">
        <v>0</v>
      </c>
      <c r="AN186">
        <v>0</v>
      </c>
      <c r="AO186">
        <v>1</v>
      </c>
      <c r="AP186">
        <v>0</v>
      </c>
      <c r="AQ186">
        <v>0</v>
      </c>
      <c r="AR186">
        <v>0</v>
      </c>
      <c r="AT186">
        <v>0.0001</v>
      </c>
      <c r="AV186">
        <v>0</v>
      </c>
    </row>
    <row r="187" spans="1:48" ht="12.75">
      <c r="A187">
        <f>ROW(Source!A57)</f>
        <v>57</v>
      </c>
      <c r="B187">
        <v>7700279</v>
      </c>
      <c r="C187">
        <v>7700272</v>
      </c>
      <c r="D187">
        <v>6332572</v>
      </c>
      <c r="E187">
        <v>1</v>
      </c>
      <c r="F187">
        <v>1</v>
      </c>
      <c r="G187">
        <v>1</v>
      </c>
      <c r="H187">
        <v>3</v>
      </c>
      <c r="I187" t="s">
        <v>511</v>
      </c>
      <c r="J187" t="s">
        <v>512</v>
      </c>
      <c r="K187" t="s">
        <v>513</v>
      </c>
      <c r="L187">
        <v>1346</v>
      </c>
      <c r="N187">
        <v>1009</v>
      </c>
      <c r="O187" t="s">
        <v>306</v>
      </c>
      <c r="P187" t="s">
        <v>306</v>
      </c>
      <c r="Q187">
        <v>1</v>
      </c>
      <c r="Y187">
        <v>0.02</v>
      </c>
      <c r="AA187">
        <v>35.68</v>
      </c>
      <c r="AB187">
        <v>0</v>
      </c>
      <c r="AC187">
        <v>0</v>
      </c>
      <c r="AD187">
        <v>0</v>
      </c>
      <c r="AN187">
        <v>0</v>
      </c>
      <c r="AO187">
        <v>1</v>
      </c>
      <c r="AP187">
        <v>0</v>
      </c>
      <c r="AQ187">
        <v>0</v>
      </c>
      <c r="AR187">
        <v>0</v>
      </c>
      <c r="AT187">
        <v>0.02</v>
      </c>
      <c r="AV187">
        <v>0</v>
      </c>
    </row>
    <row r="188" spans="1:48" ht="12.75">
      <c r="A188">
        <f>ROW(Source!A57)</f>
        <v>57</v>
      </c>
      <c r="B188">
        <v>7700280</v>
      </c>
      <c r="C188">
        <v>7700272</v>
      </c>
      <c r="D188">
        <v>6357766</v>
      </c>
      <c r="E188">
        <v>1</v>
      </c>
      <c r="F188">
        <v>1</v>
      </c>
      <c r="G188">
        <v>1</v>
      </c>
      <c r="H188">
        <v>3</v>
      </c>
      <c r="I188" t="s">
        <v>145</v>
      </c>
      <c r="J188" t="s">
        <v>147</v>
      </c>
      <c r="K188" t="s">
        <v>146</v>
      </c>
      <c r="L188">
        <v>1354</v>
      </c>
      <c r="N188">
        <v>1010</v>
      </c>
      <c r="O188" t="s">
        <v>20</v>
      </c>
      <c r="P188" t="s">
        <v>20</v>
      </c>
      <c r="Q188">
        <v>1</v>
      </c>
      <c r="Y188">
        <v>102</v>
      </c>
      <c r="AA188">
        <v>57.12</v>
      </c>
      <c r="AB188">
        <v>0</v>
      </c>
      <c r="AC188">
        <v>0</v>
      </c>
      <c r="AD188">
        <v>0</v>
      </c>
      <c r="AN188">
        <v>1</v>
      </c>
      <c r="AO188">
        <v>0</v>
      </c>
      <c r="AP188">
        <v>1</v>
      </c>
      <c r="AQ188">
        <v>0</v>
      </c>
      <c r="AR188">
        <v>0</v>
      </c>
      <c r="AT188">
        <v>102</v>
      </c>
      <c r="AV188">
        <v>0</v>
      </c>
    </row>
    <row r="189" spans="1:48" ht="12.75">
      <c r="A189">
        <f>ROW(Source!A57)</f>
        <v>57</v>
      </c>
      <c r="B189">
        <v>7700281</v>
      </c>
      <c r="C189">
        <v>7700272</v>
      </c>
      <c r="D189">
        <v>6357792</v>
      </c>
      <c r="E189">
        <v>1</v>
      </c>
      <c r="F189">
        <v>1</v>
      </c>
      <c r="G189">
        <v>1</v>
      </c>
      <c r="H189">
        <v>3</v>
      </c>
      <c r="I189" t="s">
        <v>386</v>
      </c>
      <c r="J189" t="s">
        <v>387</v>
      </c>
      <c r="K189" t="s">
        <v>388</v>
      </c>
      <c r="L189">
        <v>1356</v>
      </c>
      <c r="N189">
        <v>1010</v>
      </c>
      <c r="O189" t="s">
        <v>389</v>
      </c>
      <c r="P189" t="s">
        <v>389</v>
      </c>
      <c r="Q189">
        <v>1000</v>
      </c>
      <c r="Y189">
        <v>0.1</v>
      </c>
      <c r="AA189">
        <v>0</v>
      </c>
      <c r="AB189">
        <v>0</v>
      </c>
      <c r="AC189">
        <v>0</v>
      </c>
      <c r="AD189">
        <v>0</v>
      </c>
      <c r="AN189">
        <v>0</v>
      </c>
      <c r="AO189">
        <v>1</v>
      </c>
      <c r="AP189">
        <v>0</v>
      </c>
      <c r="AQ189">
        <v>0</v>
      </c>
      <c r="AR189">
        <v>0</v>
      </c>
      <c r="AT189">
        <v>0.1</v>
      </c>
      <c r="AV189">
        <v>0</v>
      </c>
    </row>
    <row r="190" spans="1:48" ht="12.75">
      <c r="A190">
        <f>ROW(Source!A57)</f>
        <v>57</v>
      </c>
      <c r="B190">
        <v>7700282</v>
      </c>
      <c r="C190">
        <v>7700272</v>
      </c>
      <c r="D190">
        <v>6358089</v>
      </c>
      <c r="E190">
        <v>1</v>
      </c>
      <c r="F190">
        <v>1</v>
      </c>
      <c r="G190">
        <v>1</v>
      </c>
      <c r="H190">
        <v>3</v>
      </c>
      <c r="I190" t="s">
        <v>514</v>
      </c>
      <c r="J190" t="s">
        <v>515</v>
      </c>
      <c r="K190" t="s">
        <v>516</v>
      </c>
      <c r="L190">
        <v>1355</v>
      </c>
      <c r="N190">
        <v>1010</v>
      </c>
      <c r="O190" t="s">
        <v>141</v>
      </c>
      <c r="P190" t="s">
        <v>141</v>
      </c>
      <c r="Q190">
        <v>100</v>
      </c>
      <c r="Y190">
        <v>1.02</v>
      </c>
      <c r="AA190">
        <v>0</v>
      </c>
      <c r="AB190">
        <v>0</v>
      </c>
      <c r="AC190">
        <v>0</v>
      </c>
      <c r="AD190">
        <v>0</v>
      </c>
      <c r="AN190">
        <v>0</v>
      </c>
      <c r="AO190">
        <v>1</v>
      </c>
      <c r="AP190">
        <v>0</v>
      </c>
      <c r="AQ190">
        <v>0</v>
      </c>
      <c r="AR190">
        <v>0</v>
      </c>
      <c r="AT190">
        <v>1.02</v>
      </c>
      <c r="AV190">
        <v>0</v>
      </c>
    </row>
    <row r="191" spans="1:48" ht="12.75">
      <c r="A191">
        <f>ROW(Source!A57)</f>
        <v>57</v>
      </c>
      <c r="B191">
        <v>7700283</v>
      </c>
      <c r="C191">
        <v>7700272</v>
      </c>
      <c r="D191">
        <v>6358116</v>
      </c>
      <c r="E191">
        <v>1</v>
      </c>
      <c r="F191">
        <v>1</v>
      </c>
      <c r="G191">
        <v>1</v>
      </c>
      <c r="H191">
        <v>3</v>
      </c>
      <c r="I191" t="s">
        <v>517</v>
      </c>
      <c r="J191" t="s">
        <v>518</v>
      </c>
      <c r="K191" t="s">
        <v>519</v>
      </c>
      <c r="L191">
        <v>1346</v>
      </c>
      <c r="N191">
        <v>1009</v>
      </c>
      <c r="O191" t="s">
        <v>306</v>
      </c>
      <c r="P191" t="s">
        <v>306</v>
      </c>
      <c r="Q191">
        <v>1</v>
      </c>
      <c r="Y191">
        <v>0.01</v>
      </c>
      <c r="AA191">
        <v>0</v>
      </c>
      <c r="AB191">
        <v>0</v>
      </c>
      <c r="AC191">
        <v>0</v>
      </c>
      <c r="AD191">
        <v>0</v>
      </c>
      <c r="AN191">
        <v>0</v>
      </c>
      <c r="AO191">
        <v>1</v>
      </c>
      <c r="AP191">
        <v>0</v>
      </c>
      <c r="AQ191">
        <v>0</v>
      </c>
      <c r="AR191">
        <v>0</v>
      </c>
      <c r="AT191">
        <v>0.01</v>
      </c>
      <c r="AV191">
        <v>0</v>
      </c>
    </row>
    <row r="192" spans="1:48" ht="12.75">
      <c r="A192">
        <f>ROW(Source!A57)</f>
        <v>57</v>
      </c>
      <c r="B192">
        <v>7700284</v>
      </c>
      <c r="C192">
        <v>7700272</v>
      </c>
      <c r="D192">
        <v>6358120</v>
      </c>
      <c r="E192">
        <v>1</v>
      </c>
      <c r="F192">
        <v>1</v>
      </c>
      <c r="G192">
        <v>1</v>
      </c>
      <c r="H192">
        <v>3</v>
      </c>
      <c r="I192" t="s">
        <v>393</v>
      </c>
      <c r="J192" t="s">
        <v>394</v>
      </c>
      <c r="K192" t="s">
        <v>395</v>
      </c>
      <c r="L192">
        <v>1308</v>
      </c>
      <c r="N192">
        <v>1003</v>
      </c>
      <c r="O192" t="s">
        <v>60</v>
      </c>
      <c r="P192" t="s">
        <v>60</v>
      </c>
      <c r="Q192">
        <v>100</v>
      </c>
      <c r="Y192">
        <v>0.1</v>
      </c>
      <c r="AA192">
        <v>0</v>
      </c>
      <c r="AB192">
        <v>0</v>
      </c>
      <c r="AC192">
        <v>0</v>
      </c>
      <c r="AD192">
        <v>0</v>
      </c>
      <c r="AN192">
        <v>0</v>
      </c>
      <c r="AO192">
        <v>1</v>
      </c>
      <c r="AP192">
        <v>0</v>
      </c>
      <c r="AQ192">
        <v>0</v>
      </c>
      <c r="AR192">
        <v>0</v>
      </c>
      <c r="AT192">
        <v>0.1</v>
      </c>
      <c r="AV192">
        <v>0</v>
      </c>
    </row>
    <row r="193" spans="1:48" ht="12.75">
      <c r="A193">
        <f>ROW(Source!A57)</f>
        <v>57</v>
      </c>
      <c r="B193">
        <v>7700285</v>
      </c>
      <c r="C193">
        <v>7700272</v>
      </c>
      <c r="D193">
        <v>6362473</v>
      </c>
      <c r="E193">
        <v>1</v>
      </c>
      <c r="F193">
        <v>1</v>
      </c>
      <c r="G193">
        <v>1</v>
      </c>
      <c r="H193">
        <v>3</v>
      </c>
      <c r="I193" t="s">
        <v>396</v>
      </c>
      <c r="J193" t="s">
        <v>397</v>
      </c>
      <c r="K193" t="s">
        <v>398</v>
      </c>
      <c r="L193">
        <v>1346</v>
      </c>
      <c r="N193">
        <v>1009</v>
      </c>
      <c r="O193" t="s">
        <v>306</v>
      </c>
      <c r="P193" t="s">
        <v>306</v>
      </c>
      <c r="Q193">
        <v>1</v>
      </c>
      <c r="Y193">
        <v>0.08</v>
      </c>
      <c r="AA193">
        <v>68.05</v>
      </c>
      <c r="AB193">
        <v>0</v>
      </c>
      <c r="AC193">
        <v>0</v>
      </c>
      <c r="AD193">
        <v>0</v>
      </c>
      <c r="AN193">
        <v>0</v>
      </c>
      <c r="AO193">
        <v>1</v>
      </c>
      <c r="AP193">
        <v>0</v>
      </c>
      <c r="AQ193">
        <v>0</v>
      </c>
      <c r="AR193">
        <v>0</v>
      </c>
      <c r="AT193">
        <v>0.08</v>
      </c>
      <c r="AV193">
        <v>0</v>
      </c>
    </row>
    <row r="194" spans="1:48" ht="12.75">
      <c r="A194">
        <f>ROW(Source!A57)</f>
        <v>57</v>
      </c>
      <c r="B194">
        <v>7700286</v>
      </c>
      <c r="C194">
        <v>7700272</v>
      </c>
      <c r="D194">
        <v>6365572</v>
      </c>
      <c r="E194">
        <v>1</v>
      </c>
      <c r="F194">
        <v>1</v>
      </c>
      <c r="G194">
        <v>1</v>
      </c>
      <c r="H194">
        <v>3</v>
      </c>
      <c r="I194" t="s">
        <v>520</v>
      </c>
      <c r="J194" t="s">
        <v>521</v>
      </c>
      <c r="K194" t="s">
        <v>522</v>
      </c>
      <c r="L194">
        <v>1346</v>
      </c>
      <c r="N194">
        <v>1009</v>
      </c>
      <c r="O194" t="s">
        <v>306</v>
      </c>
      <c r="P194" t="s">
        <v>306</v>
      </c>
      <c r="Q194">
        <v>1</v>
      </c>
      <c r="Y194">
        <v>0.1</v>
      </c>
      <c r="AA194">
        <v>30.6</v>
      </c>
      <c r="AB194">
        <v>0</v>
      </c>
      <c r="AC194">
        <v>0</v>
      </c>
      <c r="AD194">
        <v>0</v>
      </c>
      <c r="AN194">
        <v>0</v>
      </c>
      <c r="AO194">
        <v>1</v>
      </c>
      <c r="AP194">
        <v>0</v>
      </c>
      <c r="AQ194">
        <v>0</v>
      </c>
      <c r="AR194">
        <v>0</v>
      </c>
      <c r="AT194">
        <v>0.1</v>
      </c>
      <c r="AV194">
        <v>0</v>
      </c>
    </row>
    <row r="195" spans="1:48" ht="12.75">
      <c r="A195">
        <f>ROW(Source!A57)</f>
        <v>57</v>
      </c>
      <c r="B195">
        <v>7700287</v>
      </c>
      <c r="C195">
        <v>7700272</v>
      </c>
      <c r="D195">
        <v>6365695</v>
      </c>
      <c r="E195">
        <v>1</v>
      </c>
      <c r="F195">
        <v>1</v>
      </c>
      <c r="G195">
        <v>1</v>
      </c>
      <c r="H195">
        <v>3</v>
      </c>
      <c r="I195" t="s">
        <v>416</v>
      </c>
      <c r="J195" t="s">
        <v>417</v>
      </c>
      <c r="K195" t="s">
        <v>418</v>
      </c>
      <c r="L195">
        <v>1346</v>
      </c>
      <c r="N195">
        <v>1009</v>
      </c>
      <c r="O195" t="s">
        <v>306</v>
      </c>
      <c r="P195" t="s">
        <v>306</v>
      </c>
      <c r="Q195">
        <v>1</v>
      </c>
      <c r="Y195">
        <v>0.2</v>
      </c>
      <c r="AA195">
        <v>91.29</v>
      </c>
      <c r="AB195">
        <v>0</v>
      </c>
      <c r="AC195">
        <v>0</v>
      </c>
      <c r="AD195">
        <v>0</v>
      </c>
      <c r="AN195">
        <v>0</v>
      </c>
      <c r="AO195">
        <v>1</v>
      </c>
      <c r="AP195">
        <v>0</v>
      </c>
      <c r="AQ195">
        <v>0</v>
      </c>
      <c r="AR195">
        <v>0</v>
      </c>
      <c r="AT195">
        <v>0.2</v>
      </c>
      <c r="AV195">
        <v>0</v>
      </c>
    </row>
    <row r="196" spans="1:48" ht="12.75">
      <c r="A196">
        <f>ROW(Source!A78)</f>
        <v>78</v>
      </c>
      <c r="B196">
        <v>7700503</v>
      </c>
      <c r="C196">
        <v>7700361</v>
      </c>
      <c r="D196">
        <v>5607868</v>
      </c>
      <c r="E196">
        <v>1</v>
      </c>
      <c r="F196">
        <v>1</v>
      </c>
      <c r="G196">
        <v>1</v>
      </c>
      <c r="H196">
        <v>1</v>
      </c>
      <c r="I196" t="s">
        <v>523</v>
      </c>
      <c r="K196" t="s">
        <v>524</v>
      </c>
      <c r="L196">
        <v>1476</v>
      </c>
      <c r="N196">
        <v>1013</v>
      </c>
      <c r="O196" t="s">
        <v>271</v>
      </c>
      <c r="P196" t="s">
        <v>272</v>
      </c>
      <c r="Q196">
        <v>1</v>
      </c>
      <c r="Y196">
        <v>2.32</v>
      </c>
      <c r="AA196">
        <v>0</v>
      </c>
      <c r="AB196">
        <v>0</v>
      </c>
      <c r="AC196">
        <v>0</v>
      </c>
      <c r="AD196">
        <v>9.51</v>
      </c>
      <c r="AN196">
        <v>0</v>
      </c>
      <c r="AO196">
        <v>1</v>
      </c>
      <c r="AP196">
        <v>0</v>
      </c>
      <c r="AQ196">
        <v>0</v>
      </c>
      <c r="AR196">
        <v>0</v>
      </c>
      <c r="AT196">
        <v>2.32</v>
      </c>
      <c r="AV196">
        <v>1</v>
      </c>
    </row>
    <row r="197" spans="1:48" ht="12.75">
      <c r="A197">
        <f>ROW(Source!A78)</f>
        <v>78</v>
      </c>
      <c r="B197">
        <v>7700504</v>
      </c>
      <c r="C197">
        <v>7700361</v>
      </c>
      <c r="D197">
        <v>121548</v>
      </c>
      <c r="E197">
        <v>1</v>
      </c>
      <c r="F197">
        <v>1</v>
      </c>
      <c r="G197">
        <v>1</v>
      </c>
      <c r="H197">
        <v>1</v>
      </c>
      <c r="I197" t="s">
        <v>24</v>
      </c>
      <c r="K197" t="s">
        <v>273</v>
      </c>
      <c r="L197">
        <v>608254</v>
      </c>
      <c r="N197">
        <v>1013</v>
      </c>
      <c r="O197" t="s">
        <v>274</v>
      </c>
      <c r="P197" t="s">
        <v>274</v>
      </c>
      <c r="Q197">
        <v>1</v>
      </c>
      <c r="Y197">
        <v>0.01</v>
      </c>
      <c r="AA197">
        <v>0</v>
      </c>
      <c r="AB197">
        <v>0</v>
      </c>
      <c r="AC197">
        <v>0</v>
      </c>
      <c r="AD197">
        <v>0</v>
      </c>
      <c r="AN197">
        <v>0</v>
      </c>
      <c r="AO197">
        <v>1</v>
      </c>
      <c r="AP197">
        <v>0</v>
      </c>
      <c r="AQ197">
        <v>0</v>
      </c>
      <c r="AR197">
        <v>0</v>
      </c>
      <c r="AT197">
        <v>0.01</v>
      </c>
      <c r="AV197">
        <v>2</v>
      </c>
    </row>
    <row r="198" spans="1:48" ht="12.75">
      <c r="A198">
        <f>ROW(Source!A78)</f>
        <v>78</v>
      </c>
      <c r="B198">
        <v>7700505</v>
      </c>
      <c r="C198">
        <v>7700361</v>
      </c>
      <c r="D198">
        <v>6298444</v>
      </c>
      <c r="E198">
        <v>1</v>
      </c>
      <c r="F198">
        <v>1</v>
      </c>
      <c r="G198">
        <v>1</v>
      </c>
      <c r="H198">
        <v>2</v>
      </c>
      <c r="I198" t="s">
        <v>275</v>
      </c>
      <c r="J198" t="s">
        <v>276</v>
      </c>
      <c r="K198" t="s">
        <v>277</v>
      </c>
      <c r="L198">
        <v>1480</v>
      </c>
      <c r="N198">
        <v>1013</v>
      </c>
      <c r="O198" t="s">
        <v>278</v>
      </c>
      <c r="P198" t="s">
        <v>279</v>
      </c>
      <c r="Q198">
        <v>1</v>
      </c>
      <c r="Y198">
        <v>0.005</v>
      </c>
      <c r="AA198">
        <v>0</v>
      </c>
      <c r="AB198">
        <v>134.99</v>
      </c>
      <c r="AC198">
        <v>11.81</v>
      </c>
      <c r="AD198">
        <v>0</v>
      </c>
      <c r="AN198">
        <v>0</v>
      </c>
      <c r="AO198">
        <v>1</v>
      </c>
      <c r="AP198">
        <v>0</v>
      </c>
      <c r="AQ198">
        <v>0</v>
      </c>
      <c r="AR198">
        <v>0</v>
      </c>
      <c r="AT198">
        <v>0.005</v>
      </c>
      <c r="AV198">
        <v>0</v>
      </c>
    </row>
    <row r="199" spans="1:48" ht="12.75">
      <c r="A199">
        <f>ROW(Source!A78)</f>
        <v>78</v>
      </c>
      <c r="B199">
        <v>7700506</v>
      </c>
      <c r="C199">
        <v>7700361</v>
      </c>
      <c r="D199">
        <v>6298559</v>
      </c>
      <c r="E199">
        <v>1</v>
      </c>
      <c r="F199">
        <v>1</v>
      </c>
      <c r="G199">
        <v>1</v>
      </c>
      <c r="H199">
        <v>2</v>
      </c>
      <c r="I199" t="s">
        <v>280</v>
      </c>
      <c r="J199" t="s">
        <v>281</v>
      </c>
      <c r="K199" t="s">
        <v>282</v>
      </c>
      <c r="L199">
        <v>1368</v>
      </c>
      <c r="N199">
        <v>1011</v>
      </c>
      <c r="O199" t="s">
        <v>283</v>
      </c>
      <c r="P199" t="s">
        <v>283</v>
      </c>
      <c r="Q199">
        <v>1</v>
      </c>
      <c r="Y199">
        <v>0.13</v>
      </c>
      <c r="AA199">
        <v>0</v>
      </c>
      <c r="AB199">
        <v>2.94</v>
      </c>
      <c r="AC199">
        <v>0</v>
      </c>
      <c r="AD199">
        <v>0</v>
      </c>
      <c r="AN199">
        <v>0</v>
      </c>
      <c r="AO199">
        <v>1</v>
      </c>
      <c r="AP199">
        <v>0</v>
      </c>
      <c r="AQ199">
        <v>0</v>
      </c>
      <c r="AR199">
        <v>0</v>
      </c>
      <c r="AT199">
        <v>0.13</v>
      </c>
      <c r="AV199">
        <v>0</v>
      </c>
    </row>
    <row r="200" spans="1:48" ht="12.75">
      <c r="A200">
        <f>ROW(Source!A78)</f>
        <v>78</v>
      </c>
      <c r="B200">
        <v>7700507</v>
      </c>
      <c r="C200">
        <v>7700361</v>
      </c>
      <c r="D200">
        <v>6300327</v>
      </c>
      <c r="E200">
        <v>1</v>
      </c>
      <c r="F200">
        <v>1</v>
      </c>
      <c r="G200">
        <v>1</v>
      </c>
      <c r="H200">
        <v>2</v>
      </c>
      <c r="I200" t="s">
        <v>419</v>
      </c>
      <c r="J200" t="s">
        <v>322</v>
      </c>
      <c r="K200" t="s">
        <v>420</v>
      </c>
      <c r="L200">
        <v>1368</v>
      </c>
      <c r="N200">
        <v>1011</v>
      </c>
      <c r="O200" t="s">
        <v>283</v>
      </c>
      <c r="P200" t="s">
        <v>283</v>
      </c>
      <c r="Q200">
        <v>1</v>
      </c>
      <c r="Y200">
        <v>0.04</v>
      </c>
      <c r="AA200">
        <v>0</v>
      </c>
      <c r="AB200">
        <v>2.95</v>
      </c>
      <c r="AC200">
        <v>0</v>
      </c>
      <c r="AD200">
        <v>0</v>
      </c>
      <c r="AN200">
        <v>0</v>
      </c>
      <c r="AO200">
        <v>1</v>
      </c>
      <c r="AP200">
        <v>0</v>
      </c>
      <c r="AQ200">
        <v>0</v>
      </c>
      <c r="AR200">
        <v>0</v>
      </c>
      <c r="AT200">
        <v>0.04</v>
      </c>
      <c r="AV200">
        <v>0</v>
      </c>
    </row>
    <row r="201" spans="1:48" ht="12.75">
      <c r="A201">
        <f>ROW(Source!A78)</f>
        <v>78</v>
      </c>
      <c r="B201">
        <v>7700508</v>
      </c>
      <c r="C201">
        <v>7700361</v>
      </c>
      <c r="D201">
        <v>6300501</v>
      </c>
      <c r="E201">
        <v>1</v>
      </c>
      <c r="F201">
        <v>1</v>
      </c>
      <c r="G201">
        <v>1</v>
      </c>
      <c r="H201">
        <v>2</v>
      </c>
      <c r="I201" t="s">
        <v>440</v>
      </c>
      <c r="J201" t="s">
        <v>330</v>
      </c>
      <c r="K201" t="s">
        <v>441</v>
      </c>
      <c r="L201">
        <v>1480</v>
      </c>
      <c r="N201">
        <v>1013</v>
      </c>
      <c r="O201" t="s">
        <v>278</v>
      </c>
      <c r="P201" t="s">
        <v>279</v>
      </c>
      <c r="Q201">
        <v>1</v>
      </c>
      <c r="Y201">
        <v>0.2</v>
      </c>
      <c r="AA201">
        <v>0</v>
      </c>
      <c r="AB201">
        <v>1.33</v>
      </c>
      <c r="AC201">
        <v>0</v>
      </c>
      <c r="AD201">
        <v>0</v>
      </c>
      <c r="AN201">
        <v>0</v>
      </c>
      <c r="AO201">
        <v>1</v>
      </c>
      <c r="AP201">
        <v>0</v>
      </c>
      <c r="AQ201">
        <v>0</v>
      </c>
      <c r="AR201">
        <v>0</v>
      </c>
      <c r="AT201">
        <v>0.2</v>
      </c>
      <c r="AV201">
        <v>0</v>
      </c>
    </row>
    <row r="202" spans="1:48" ht="12.75">
      <c r="A202">
        <f>ROW(Source!A78)</f>
        <v>78</v>
      </c>
      <c r="B202">
        <v>7700509</v>
      </c>
      <c r="C202">
        <v>7700361</v>
      </c>
      <c r="D202">
        <v>6300746</v>
      </c>
      <c r="E202">
        <v>1</v>
      </c>
      <c r="F202">
        <v>1</v>
      </c>
      <c r="G202">
        <v>1</v>
      </c>
      <c r="H202">
        <v>2</v>
      </c>
      <c r="I202" t="s">
        <v>374</v>
      </c>
      <c r="J202" t="s">
        <v>375</v>
      </c>
      <c r="K202" t="s">
        <v>376</v>
      </c>
      <c r="L202">
        <v>1368</v>
      </c>
      <c r="N202">
        <v>1011</v>
      </c>
      <c r="O202" t="s">
        <v>283</v>
      </c>
      <c r="P202" t="s">
        <v>283</v>
      </c>
      <c r="Q202">
        <v>1</v>
      </c>
      <c r="Y202">
        <v>0.005</v>
      </c>
      <c r="AA202">
        <v>0</v>
      </c>
      <c r="AB202">
        <v>70.53</v>
      </c>
      <c r="AC202">
        <v>33.66</v>
      </c>
      <c r="AD202">
        <v>0</v>
      </c>
      <c r="AN202">
        <v>0</v>
      </c>
      <c r="AO202">
        <v>1</v>
      </c>
      <c r="AP202">
        <v>0</v>
      </c>
      <c r="AQ202">
        <v>0</v>
      </c>
      <c r="AR202">
        <v>0</v>
      </c>
      <c r="AT202">
        <v>0.005</v>
      </c>
      <c r="AV202">
        <v>0</v>
      </c>
    </row>
    <row r="203" spans="1:48" ht="12.75">
      <c r="A203">
        <f>ROW(Source!A78)</f>
        <v>78</v>
      </c>
      <c r="B203">
        <v>7700525</v>
      </c>
      <c r="C203">
        <v>7700361</v>
      </c>
      <c r="D203">
        <v>0</v>
      </c>
      <c r="E203">
        <v>0</v>
      </c>
      <c r="F203">
        <v>1</v>
      </c>
      <c r="G203">
        <v>1</v>
      </c>
      <c r="H203">
        <v>3</v>
      </c>
      <c r="K203" t="s">
        <v>177</v>
      </c>
      <c r="L203">
        <v>1371</v>
      </c>
      <c r="N203">
        <v>1013</v>
      </c>
      <c r="O203" t="s">
        <v>43</v>
      </c>
      <c r="P203" t="s">
        <v>43</v>
      </c>
      <c r="Q203">
        <v>1</v>
      </c>
      <c r="Y203">
        <v>1</v>
      </c>
      <c r="AA203">
        <v>41.46</v>
      </c>
      <c r="AB203">
        <v>0</v>
      </c>
      <c r="AC203">
        <v>0</v>
      </c>
      <c r="AD203">
        <v>0</v>
      </c>
      <c r="AN203">
        <v>0</v>
      </c>
      <c r="AO203">
        <v>0</v>
      </c>
      <c r="AP203">
        <v>2</v>
      </c>
      <c r="AQ203">
        <v>0</v>
      </c>
      <c r="AR203">
        <v>0</v>
      </c>
      <c r="AT203">
        <v>1</v>
      </c>
      <c r="AV203">
        <v>0</v>
      </c>
    </row>
    <row r="204" spans="1:48" ht="12.75">
      <c r="A204">
        <f>ROW(Source!A78)</f>
        <v>78</v>
      </c>
      <c r="B204">
        <v>7700510</v>
      </c>
      <c r="C204">
        <v>7700361</v>
      </c>
      <c r="D204">
        <v>6332387</v>
      </c>
      <c r="E204">
        <v>1</v>
      </c>
      <c r="F204">
        <v>1</v>
      </c>
      <c r="G204">
        <v>1</v>
      </c>
      <c r="H204">
        <v>3</v>
      </c>
      <c r="I204" t="s">
        <v>404</v>
      </c>
      <c r="J204" t="s">
        <v>405</v>
      </c>
      <c r="K204" t="s">
        <v>406</v>
      </c>
      <c r="L204">
        <v>1346</v>
      </c>
      <c r="N204">
        <v>1009</v>
      </c>
      <c r="O204" t="s">
        <v>306</v>
      </c>
      <c r="P204" t="s">
        <v>306</v>
      </c>
      <c r="Q204">
        <v>1</v>
      </c>
      <c r="Y204">
        <v>0.07</v>
      </c>
      <c r="AA204">
        <v>9.45</v>
      </c>
      <c r="AB204">
        <v>0</v>
      </c>
      <c r="AC204">
        <v>0</v>
      </c>
      <c r="AD204">
        <v>0</v>
      </c>
      <c r="AN204">
        <v>0</v>
      </c>
      <c r="AO204">
        <v>1</v>
      </c>
      <c r="AP204">
        <v>0</v>
      </c>
      <c r="AQ204">
        <v>0</v>
      </c>
      <c r="AR204">
        <v>0</v>
      </c>
      <c r="AT204">
        <v>0.07</v>
      </c>
      <c r="AV204">
        <v>0</v>
      </c>
    </row>
    <row r="205" spans="1:48" ht="12.75">
      <c r="A205">
        <f>ROW(Source!A78)</f>
        <v>78</v>
      </c>
      <c r="B205">
        <v>7700511</v>
      </c>
      <c r="C205">
        <v>7700361</v>
      </c>
      <c r="D205">
        <v>6332572</v>
      </c>
      <c r="E205">
        <v>1</v>
      </c>
      <c r="F205">
        <v>1</v>
      </c>
      <c r="G205">
        <v>1</v>
      </c>
      <c r="H205">
        <v>3</v>
      </c>
      <c r="I205" t="s">
        <v>511</v>
      </c>
      <c r="J205" t="s">
        <v>512</v>
      </c>
      <c r="K205" t="s">
        <v>513</v>
      </c>
      <c r="L205">
        <v>1346</v>
      </c>
      <c r="N205">
        <v>1009</v>
      </c>
      <c r="O205" t="s">
        <v>306</v>
      </c>
      <c r="P205" t="s">
        <v>306</v>
      </c>
      <c r="Q205">
        <v>1</v>
      </c>
      <c r="Y205">
        <v>0.004</v>
      </c>
      <c r="AA205">
        <v>35.68</v>
      </c>
      <c r="AB205">
        <v>0</v>
      </c>
      <c r="AC205">
        <v>0</v>
      </c>
      <c r="AD205">
        <v>0</v>
      </c>
      <c r="AN205">
        <v>0</v>
      </c>
      <c r="AO205">
        <v>1</v>
      </c>
      <c r="AP205">
        <v>0</v>
      </c>
      <c r="AQ205">
        <v>0</v>
      </c>
      <c r="AR205">
        <v>0</v>
      </c>
      <c r="AT205">
        <v>0.004</v>
      </c>
      <c r="AV205">
        <v>0</v>
      </c>
    </row>
    <row r="206" spans="1:48" ht="12.75">
      <c r="A206">
        <f>ROW(Source!A78)</f>
        <v>78</v>
      </c>
      <c r="B206">
        <v>7700512</v>
      </c>
      <c r="C206">
        <v>7700361</v>
      </c>
      <c r="D206">
        <v>6332585</v>
      </c>
      <c r="E206">
        <v>1</v>
      </c>
      <c r="F206">
        <v>1</v>
      </c>
      <c r="G206">
        <v>1</v>
      </c>
      <c r="H206">
        <v>3</v>
      </c>
      <c r="I206" t="s">
        <v>460</v>
      </c>
      <c r="J206" t="s">
        <v>461</v>
      </c>
      <c r="K206" t="s">
        <v>462</v>
      </c>
      <c r="L206">
        <v>1346</v>
      </c>
      <c r="N206">
        <v>1009</v>
      </c>
      <c r="O206" t="s">
        <v>306</v>
      </c>
      <c r="P206" t="s">
        <v>306</v>
      </c>
      <c r="Q206">
        <v>1</v>
      </c>
      <c r="Y206">
        <v>0.38</v>
      </c>
      <c r="AA206">
        <v>19.08</v>
      </c>
      <c r="AB206">
        <v>0</v>
      </c>
      <c r="AC206">
        <v>0</v>
      </c>
      <c r="AD206">
        <v>0</v>
      </c>
      <c r="AN206">
        <v>0</v>
      </c>
      <c r="AO206">
        <v>1</v>
      </c>
      <c r="AP206">
        <v>0</v>
      </c>
      <c r="AQ206">
        <v>0</v>
      </c>
      <c r="AR206">
        <v>0</v>
      </c>
      <c r="AT206">
        <v>0.38</v>
      </c>
      <c r="AV206">
        <v>0</v>
      </c>
    </row>
    <row r="207" spans="1:48" ht="12.75">
      <c r="A207">
        <f>ROW(Source!A78)</f>
        <v>78</v>
      </c>
      <c r="B207">
        <v>7700513</v>
      </c>
      <c r="C207">
        <v>7700361</v>
      </c>
      <c r="D207">
        <v>6333044</v>
      </c>
      <c r="E207">
        <v>1</v>
      </c>
      <c r="F207">
        <v>1</v>
      </c>
      <c r="G207">
        <v>1</v>
      </c>
      <c r="H207">
        <v>3</v>
      </c>
      <c r="I207" t="s">
        <v>490</v>
      </c>
      <c r="J207" t="s">
        <v>491</v>
      </c>
      <c r="K207" t="s">
        <v>492</v>
      </c>
      <c r="L207">
        <v>1358</v>
      </c>
      <c r="N207">
        <v>1010</v>
      </c>
      <c r="O207" t="s">
        <v>211</v>
      </c>
      <c r="P207" t="s">
        <v>211</v>
      </c>
      <c r="Q207">
        <v>10</v>
      </c>
      <c r="Y207">
        <v>1.22</v>
      </c>
      <c r="AA207">
        <v>3.09</v>
      </c>
      <c r="AB207">
        <v>0</v>
      </c>
      <c r="AC207">
        <v>0</v>
      </c>
      <c r="AD207">
        <v>0</v>
      </c>
      <c r="AN207">
        <v>0</v>
      </c>
      <c r="AO207">
        <v>1</v>
      </c>
      <c r="AP207">
        <v>0</v>
      </c>
      <c r="AQ207">
        <v>0</v>
      </c>
      <c r="AR207">
        <v>0</v>
      </c>
      <c r="AT207">
        <v>1.22</v>
      </c>
      <c r="AV207">
        <v>0</v>
      </c>
    </row>
    <row r="208" spans="1:48" ht="12.75">
      <c r="A208">
        <f>ROW(Source!A78)</f>
        <v>78</v>
      </c>
      <c r="B208">
        <v>7700514</v>
      </c>
      <c r="C208">
        <v>7700361</v>
      </c>
      <c r="D208">
        <v>6333052</v>
      </c>
      <c r="E208">
        <v>1</v>
      </c>
      <c r="F208">
        <v>1</v>
      </c>
      <c r="G208">
        <v>1</v>
      </c>
      <c r="H208">
        <v>3</v>
      </c>
      <c r="I208" t="s">
        <v>478</v>
      </c>
      <c r="J208" t="s">
        <v>479</v>
      </c>
      <c r="K208" t="s">
        <v>480</v>
      </c>
      <c r="L208">
        <v>1355</v>
      </c>
      <c r="N208">
        <v>1010</v>
      </c>
      <c r="O208" t="s">
        <v>141</v>
      </c>
      <c r="P208" t="s">
        <v>141</v>
      </c>
      <c r="Q208">
        <v>100</v>
      </c>
      <c r="Y208">
        <v>0.014</v>
      </c>
      <c r="AA208">
        <v>234.51</v>
      </c>
      <c r="AB208">
        <v>0</v>
      </c>
      <c r="AC208">
        <v>0</v>
      </c>
      <c r="AD208">
        <v>0</v>
      </c>
      <c r="AN208">
        <v>0</v>
      </c>
      <c r="AO208">
        <v>1</v>
      </c>
      <c r="AP208">
        <v>0</v>
      </c>
      <c r="AQ208">
        <v>0</v>
      </c>
      <c r="AR208">
        <v>0</v>
      </c>
      <c r="AT208">
        <v>0.014</v>
      </c>
      <c r="AV208">
        <v>0</v>
      </c>
    </row>
    <row r="209" spans="1:48" ht="12.75">
      <c r="A209">
        <f>ROW(Source!A78)</f>
        <v>78</v>
      </c>
      <c r="B209">
        <v>7700515</v>
      </c>
      <c r="C209">
        <v>7700361</v>
      </c>
      <c r="D209">
        <v>6333130</v>
      </c>
      <c r="E209">
        <v>1</v>
      </c>
      <c r="F209">
        <v>1</v>
      </c>
      <c r="G209">
        <v>1</v>
      </c>
      <c r="H209">
        <v>3</v>
      </c>
      <c r="I209" t="s">
        <v>493</v>
      </c>
      <c r="J209" t="s">
        <v>494</v>
      </c>
      <c r="K209" t="s">
        <v>495</v>
      </c>
      <c r="L209">
        <v>1358</v>
      </c>
      <c r="N209">
        <v>1010</v>
      </c>
      <c r="O209" t="s">
        <v>211</v>
      </c>
      <c r="P209" t="s">
        <v>211</v>
      </c>
      <c r="Q209">
        <v>10</v>
      </c>
      <c r="Y209">
        <v>1.22</v>
      </c>
      <c r="AA209">
        <v>7.02</v>
      </c>
      <c r="AB209">
        <v>0</v>
      </c>
      <c r="AC209">
        <v>0</v>
      </c>
      <c r="AD209">
        <v>0</v>
      </c>
      <c r="AN209">
        <v>0</v>
      </c>
      <c r="AO209">
        <v>1</v>
      </c>
      <c r="AP209">
        <v>0</v>
      </c>
      <c r="AQ209">
        <v>0</v>
      </c>
      <c r="AR209">
        <v>0</v>
      </c>
      <c r="AT209">
        <v>1.22</v>
      </c>
      <c r="AV209">
        <v>0</v>
      </c>
    </row>
    <row r="210" spans="1:48" ht="12.75">
      <c r="A210">
        <f>ROW(Source!A78)</f>
        <v>78</v>
      </c>
      <c r="B210">
        <v>7700516</v>
      </c>
      <c r="C210">
        <v>7700361</v>
      </c>
      <c r="D210">
        <v>6333730</v>
      </c>
      <c r="E210">
        <v>1</v>
      </c>
      <c r="F210">
        <v>1</v>
      </c>
      <c r="G210">
        <v>1</v>
      </c>
      <c r="H210">
        <v>3</v>
      </c>
      <c r="I210" t="s">
        <v>525</v>
      </c>
      <c r="J210" t="s">
        <v>526</v>
      </c>
      <c r="K210" t="s">
        <v>527</v>
      </c>
      <c r="L210">
        <v>1346</v>
      </c>
      <c r="N210">
        <v>1009</v>
      </c>
      <c r="O210" t="s">
        <v>306</v>
      </c>
      <c r="P210" t="s">
        <v>306</v>
      </c>
      <c r="Q210">
        <v>1</v>
      </c>
      <c r="Y210">
        <v>0.014</v>
      </c>
      <c r="AA210">
        <v>40.15</v>
      </c>
      <c r="AB210">
        <v>0</v>
      </c>
      <c r="AC210">
        <v>0</v>
      </c>
      <c r="AD210">
        <v>0</v>
      </c>
      <c r="AN210">
        <v>0</v>
      </c>
      <c r="AO210">
        <v>1</v>
      </c>
      <c r="AP210">
        <v>0</v>
      </c>
      <c r="AQ210">
        <v>0</v>
      </c>
      <c r="AR210">
        <v>0</v>
      </c>
      <c r="AT210">
        <v>0.014</v>
      </c>
      <c r="AV210">
        <v>0</v>
      </c>
    </row>
    <row r="211" spans="1:48" ht="12.75">
      <c r="A211">
        <f>ROW(Source!A78)</f>
        <v>78</v>
      </c>
      <c r="B211">
        <v>7700517</v>
      </c>
      <c r="C211">
        <v>7700361</v>
      </c>
      <c r="D211">
        <v>6333904</v>
      </c>
      <c r="E211">
        <v>1</v>
      </c>
      <c r="F211">
        <v>1</v>
      </c>
      <c r="G211">
        <v>1</v>
      </c>
      <c r="H211">
        <v>3</v>
      </c>
      <c r="I211" t="s">
        <v>407</v>
      </c>
      <c r="J211" t="s">
        <v>408</v>
      </c>
      <c r="K211" t="s">
        <v>409</v>
      </c>
      <c r="L211">
        <v>1346</v>
      </c>
      <c r="N211">
        <v>1009</v>
      </c>
      <c r="O211" t="s">
        <v>306</v>
      </c>
      <c r="P211" t="s">
        <v>306</v>
      </c>
      <c r="Q211">
        <v>1</v>
      </c>
      <c r="Y211">
        <v>0.047</v>
      </c>
      <c r="AA211">
        <v>12.6</v>
      </c>
      <c r="AB211">
        <v>0</v>
      </c>
      <c r="AC211">
        <v>0</v>
      </c>
      <c r="AD211">
        <v>0</v>
      </c>
      <c r="AN211">
        <v>0</v>
      </c>
      <c r="AO211">
        <v>1</v>
      </c>
      <c r="AP211">
        <v>0</v>
      </c>
      <c r="AQ211">
        <v>0</v>
      </c>
      <c r="AR211">
        <v>0</v>
      </c>
      <c r="AT211">
        <v>0.047</v>
      </c>
      <c r="AV211">
        <v>0</v>
      </c>
    </row>
    <row r="212" spans="1:48" ht="12.75">
      <c r="A212">
        <f>ROW(Source!A78)</f>
        <v>78</v>
      </c>
      <c r="B212">
        <v>7700518</v>
      </c>
      <c r="C212">
        <v>7700361</v>
      </c>
      <c r="D212">
        <v>6342396</v>
      </c>
      <c r="E212">
        <v>1</v>
      </c>
      <c r="F212">
        <v>1</v>
      </c>
      <c r="G212">
        <v>1</v>
      </c>
      <c r="H212">
        <v>3</v>
      </c>
      <c r="I212" t="s">
        <v>528</v>
      </c>
      <c r="J212" t="s">
        <v>529</v>
      </c>
      <c r="K212" t="s">
        <v>530</v>
      </c>
      <c r="L212">
        <v>1348</v>
      </c>
      <c r="N212">
        <v>1009</v>
      </c>
      <c r="O212" t="s">
        <v>293</v>
      </c>
      <c r="P212" t="s">
        <v>293</v>
      </c>
      <c r="Q212">
        <v>1000</v>
      </c>
      <c r="Y212">
        <v>0.002</v>
      </c>
      <c r="AA212">
        <v>9287.21</v>
      </c>
      <c r="AB212">
        <v>0</v>
      </c>
      <c r="AC212">
        <v>0</v>
      </c>
      <c r="AD212">
        <v>0</v>
      </c>
      <c r="AN212">
        <v>0</v>
      </c>
      <c r="AO212">
        <v>1</v>
      </c>
      <c r="AP212">
        <v>0</v>
      </c>
      <c r="AQ212">
        <v>0</v>
      </c>
      <c r="AR212">
        <v>0</v>
      </c>
      <c r="AT212">
        <v>0.002</v>
      </c>
      <c r="AV212">
        <v>0</v>
      </c>
    </row>
    <row r="213" spans="1:48" ht="12.75">
      <c r="A213">
        <f>ROW(Source!A78)</f>
        <v>78</v>
      </c>
      <c r="B213">
        <v>7700519</v>
      </c>
      <c r="C213">
        <v>7700361</v>
      </c>
      <c r="D213">
        <v>6357766</v>
      </c>
      <c r="E213">
        <v>1</v>
      </c>
      <c r="F213">
        <v>1</v>
      </c>
      <c r="G213">
        <v>1</v>
      </c>
      <c r="H213">
        <v>3</v>
      </c>
      <c r="I213" t="s">
        <v>145</v>
      </c>
      <c r="J213" t="s">
        <v>147</v>
      </c>
      <c r="K213" t="s">
        <v>146</v>
      </c>
      <c r="L213">
        <v>1354</v>
      </c>
      <c r="N213">
        <v>1010</v>
      </c>
      <c r="O213" t="s">
        <v>20</v>
      </c>
      <c r="P213" t="s">
        <v>20</v>
      </c>
      <c r="Q213">
        <v>1</v>
      </c>
      <c r="Y213">
        <v>6.1</v>
      </c>
      <c r="AA213">
        <v>0</v>
      </c>
      <c r="AB213">
        <v>0</v>
      </c>
      <c r="AC213">
        <v>0</v>
      </c>
      <c r="AD213">
        <v>0</v>
      </c>
      <c r="AN213">
        <v>1</v>
      </c>
      <c r="AO213">
        <v>0</v>
      </c>
      <c r="AP213">
        <v>0</v>
      </c>
      <c r="AQ213">
        <v>0</v>
      </c>
      <c r="AR213">
        <v>0</v>
      </c>
      <c r="AT213">
        <v>6.1</v>
      </c>
      <c r="AV213">
        <v>0</v>
      </c>
    </row>
    <row r="214" spans="1:48" ht="12.75">
      <c r="A214">
        <f>ROW(Source!A78)</f>
        <v>78</v>
      </c>
      <c r="B214">
        <v>7700520</v>
      </c>
      <c r="C214">
        <v>7700361</v>
      </c>
      <c r="D214">
        <v>6357779</v>
      </c>
      <c r="E214">
        <v>1</v>
      </c>
      <c r="F214">
        <v>1</v>
      </c>
      <c r="G214">
        <v>1</v>
      </c>
      <c r="H214">
        <v>3</v>
      </c>
      <c r="I214" t="s">
        <v>505</v>
      </c>
      <c r="J214" t="s">
        <v>506</v>
      </c>
      <c r="K214" t="s">
        <v>507</v>
      </c>
      <c r="L214">
        <v>1354</v>
      </c>
      <c r="N214">
        <v>1010</v>
      </c>
      <c r="O214" t="s">
        <v>20</v>
      </c>
      <c r="P214" t="s">
        <v>20</v>
      </c>
      <c r="Q214">
        <v>1</v>
      </c>
      <c r="Y214">
        <v>1</v>
      </c>
      <c r="AA214">
        <v>0</v>
      </c>
      <c r="AB214">
        <v>0</v>
      </c>
      <c r="AC214">
        <v>0</v>
      </c>
      <c r="AD214">
        <v>0</v>
      </c>
      <c r="AN214">
        <v>0</v>
      </c>
      <c r="AO214">
        <v>1</v>
      </c>
      <c r="AP214">
        <v>0</v>
      </c>
      <c r="AQ214">
        <v>0</v>
      </c>
      <c r="AR214">
        <v>0</v>
      </c>
      <c r="AT214">
        <v>1</v>
      </c>
      <c r="AV214">
        <v>0</v>
      </c>
    </row>
    <row r="215" spans="1:48" ht="12.75">
      <c r="A215">
        <f>ROW(Source!A78)</f>
        <v>78</v>
      </c>
      <c r="B215">
        <v>7700521</v>
      </c>
      <c r="C215">
        <v>7700361</v>
      </c>
      <c r="D215">
        <v>6358087</v>
      </c>
      <c r="E215">
        <v>1</v>
      </c>
      <c r="F215">
        <v>1</v>
      </c>
      <c r="G215">
        <v>1</v>
      </c>
      <c r="H215">
        <v>3</v>
      </c>
      <c r="I215" t="s">
        <v>390</v>
      </c>
      <c r="J215" t="s">
        <v>391</v>
      </c>
      <c r="K215" t="s">
        <v>392</v>
      </c>
      <c r="L215">
        <v>1355</v>
      </c>
      <c r="N215">
        <v>1010</v>
      </c>
      <c r="O215" t="s">
        <v>141</v>
      </c>
      <c r="P215" t="s">
        <v>141</v>
      </c>
      <c r="Q215">
        <v>100</v>
      </c>
      <c r="Y215">
        <v>0.02</v>
      </c>
      <c r="AA215">
        <v>142.5</v>
      </c>
      <c r="AB215">
        <v>0</v>
      </c>
      <c r="AC215">
        <v>0</v>
      </c>
      <c r="AD215">
        <v>0</v>
      </c>
      <c r="AN215">
        <v>0</v>
      </c>
      <c r="AO215">
        <v>1</v>
      </c>
      <c r="AP215">
        <v>0</v>
      </c>
      <c r="AQ215">
        <v>0</v>
      </c>
      <c r="AR215">
        <v>0</v>
      </c>
      <c r="AT215">
        <v>0.02</v>
      </c>
      <c r="AV215">
        <v>0</v>
      </c>
    </row>
    <row r="216" spans="1:48" ht="12.75">
      <c r="A216">
        <f>ROW(Source!A78)</f>
        <v>78</v>
      </c>
      <c r="B216">
        <v>7700522</v>
      </c>
      <c r="C216">
        <v>7700361</v>
      </c>
      <c r="D216">
        <v>6358116</v>
      </c>
      <c r="E216">
        <v>1</v>
      </c>
      <c r="F216">
        <v>1</v>
      </c>
      <c r="G216">
        <v>1</v>
      </c>
      <c r="H216">
        <v>3</v>
      </c>
      <c r="I216" t="s">
        <v>517</v>
      </c>
      <c r="J216" t="s">
        <v>518</v>
      </c>
      <c r="K216" t="s">
        <v>519</v>
      </c>
      <c r="L216">
        <v>1346</v>
      </c>
      <c r="N216">
        <v>1009</v>
      </c>
      <c r="O216" t="s">
        <v>306</v>
      </c>
      <c r="P216" t="s">
        <v>306</v>
      </c>
      <c r="Q216">
        <v>1</v>
      </c>
      <c r="Y216">
        <v>0.002</v>
      </c>
      <c r="AA216">
        <v>0</v>
      </c>
      <c r="AB216">
        <v>0</v>
      </c>
      <c r="AC216">
        <v>0</v>
      </c>
      <c r="AD216">
        <v>0</v>
      </c>
      <c r="AN216">
        <v>0</v>
      </c>
      <c r="AO216">
        <v>1</v>
      </c>
      <c r="AP216">
        <v>0</v>
      </c>
      <c r="AQ216">
        <v>0</v>
      </c>
      <c r="AR216">
        <v>0</v>
      </c>
      <c r="AT216">
        <v>0.002</v>
      </c>
      <c r="AV216">
        <v>0</v>
      </c>
    </row>
    <row r="217" spans="1:48" ht="12.75">
      <c r="A217">
        <f>ROW(Source!A78)</f>
        <v>78</v>
      </c>
      <c r="B217">
        <v>7700523</v>
      </c>
      <c r="C217">
        <v>7700361</v>
      </c>
      <c r="D217">
        <v>6365572</v>
      </c>
      <c r="E217">
        <v>1</v>
      </c>
      <c r="F217">
        <v>1</v>
      </c>
      <c r="G217">
        <v>1</v>
      </c>
      <c r="H217">
        <v>3</v>
      </c>
      <c r="I217" t="s">
        <v>520</v>
      </c>
      <c r="J217" t="s">
        <v>521</v>
      </c>
      <c r="K217" t="s">
        <v>522</v>
      </c>
      <c r="L217">
        <v>1346</v>
      </c>
      <c r="N217">
        <v>1009</v>
      </c>
      <c r="O217" t="s">
        <v>306</v>
      </c>
      <c r="P217" t="s">
        <v>306</v>
      </c>
      <c r="Q217">
        <v>1</v>
      </c>
      <c r="Y217">
        <v>0.009</v>
      </c>
      <c r="AA217">
        <v>30.6</v>
      </c>
      <c r="AB217">
        <v>0</v>
      </c>
      <c r="AC217">
        <v>0</v>
      </c>
      <c r="AD217">
        <v>0</v>
      </c>
      <c r="AN217">
        <v>0</v>
      </c>
      <c r="AO217">
        <v>1</v>
      </c>
      <c r="AP217">
        <v>0</v>
      </c>
      <c r="AQ217">
        <v>0</v>
      </c>
      <c r="AR217">
        <v>0</v>
      </c>
      <c r="AT217">
        <v>0.009</v>
      </c>
      <c r="AV217">
        <v>0</v>
      </c>
    </row>
    <row r="218" spans="1:48" ht="12.75">
      <c r="A218">
        <f>ROW(Source!A78)</f>
        <v>78</v>
      </c>
      <c r="B218">
        <v>7700524</v>
      </c>
      <c r="C218">
        <v>7700361</v>
      </c>
      <c r="D218">
        <v>6365695</v>
      </c>
      <c r="E218">
        <v>1</v>
      </c>
      <c r="F218">
        <v>1</v>
      </c>
      <c r="G218">
        <v>1</v>
      </c>
      <c r="H218">
        <v>3</v>
      </c>
      <c r="I218" t="s">
        <v>416</v>
      </c>
      <c r="J218" t="s">
        <v>417</v>
      </c>
      <c r="K218" t="s">
        <v>418</v>
      </c>
      <c r="L218">
        <v>1346</v>
      </c>
      <c r="N218">
        <v>1009</v>
      </c>
      <c r="O218" t="s">
        <v>306</v>
      </c>
      <c r="P218" t="s">
        <v>306</v>
      </c>
      <c r="Q218">
        <v>1</v>
      </c>
      <c r="Y218">
        <v>0.036</v>
      </c>
      <c r="AA218">
        <v>91.29</v>
      </c>
      <c r="AB218">
        <v>0</v>
      </c>
      <c r="AC218">
        <v>0</v>
      </c>
      <c r="AD218">
        <v>0</v>
      </c>
      <c r="AN218">
        <v>0</v>
      </c>
      <c r="AO218">
        <v>1</v>
      </c>
      <c r="AP218">
        <v>0</v>
      </c>
      <c r="AQ218">
        <v>0</v>
      </c>
      <c r="AR218">
        <v>0</v>
      </c>
      <c r="AT218">
        <v>0.036</v>
      </c>
      <c r="AV218">
        <v>0</v>
      </c>
    </row>
    <row r="219" spans="1:48" ht="12.75">
      <c r="A219">
        <f>ROW(Source!A80)</f>
        <v>80</v>
      </c>
      <c r="B219">
        <v>7700552</v>
      </c>
      <c r="C219">
        <v>7700550</v>
      </c>
      <c r="D219">
        <v>5608703</v>
      </c>
      <c r="E219">
        <v>1</v>
      </c>
      <c r="F219">
        <v>1</v>
      </c>
      <c r="G219">
        <v>1</v>
      </c>
      <c r="H219">
        <v>1</v>
      </c>
      <c r="I219" t="s">
        <v>366</v>
      </c>
      <c r="K219" t="s">
        <v>367</v>
      </c>
      <c r="L219">
        <v>1476</v>
      </c>
      <c r="N219">
        <v>1013</v>
      </c>
      <c r="O219" t="s">
        <v>271</v>
      </c>
      <c r="P219" t="s">
        <v>272</v>
      </c>
      <c r="Q219">
        <v>1</v>
      </c>
      <c r="Y219">
        <v>1.13</v>
      </c>
      <c r="AA219">
        <v>0</v>
      </c>
      <c r="AB219">
        <v>0</v>
      </c>
      <c r="AC219">
        <v>0</v>
      </c>
      <c r="AD219">
        <v>9.61</v>
      </c>
      <c r="AN219">
        <v>0</v>
      </c>
      <c r="AO219">
        <v>1</v>
      </c>
      <c r="AP219">
        <v>0</v>
      </c>
      <c r="AQ219">
        <v>0</v>
      </c>
      <c r="AR219">
        <v>0</v>
      </c>
      <c r="AT219">
        <v>1.13</v>
      </c>
      <c r="AV219">
        <v>1</v>
      </c>
    </row>
    <row r="220" spans="1:48" ht="12.75">
      <c r="A220">
        <f>ROW(Source!A80)</f>
        <v>80</v>
      </c>
      <c r="B220">
        <v>7700553</v>
      </c>
      <c r="C220">
        <v>7700550</v>
      </c>
      <c r="D220">
        <v>121548</v>
      </c>
      <c r="E220">
        <v>1</v>
      </c>
      <c r="F220">
        <v>1</v>
      </c>
      <c r="G220">
        <v>1</v>
      </c>
      <c r="H220">
        <v>1</v>
      </c>
      <c r="I220" t="s">
        <v>24</v>
      </c>
      <c r="K220" t="s">
        <v>273</v>
      </c>
      <c r="L220">
        <v>608254</v>
      </c>
      <c r="N220">
        <v>1013</v>
      </c>
      <c r="O220" t="s">
        <v>274</v>
      </c>
      <c r="P220" t="s">
        <v>274</v>
      </c>
      <c r="Q220">
        <v>1</v>
      </c>
      <c r="Y220">
        <v>0.08</v>
      </c>
      <c r="AA220">
        <v>0</v>
      </c>
      <c r="AB220">
        <v>0</v>
      </c>
      <c r="AC220">
        <v>0</v>
      </c>
      <c r="AD220">
        <v>0</v>
      </c>
      <c r="AN220">
        <v>0</v>
      </c>
      <c r="AO220">
        <v>1</v>
      </c>
      <c r="AP220">
        <v>0</v>
      </c>
      <c r="AQ220">
        <v>0</v>
      </c>
      <c r="AR220">
        <v>0</v>
      </c>
      <c r="AT220">
        <v>0.08</v>
      </c>
      <c r="AV220">
        <v>2</v>
      </c>
    </row>
    <row r="221" spans="1:48" ht="12.75">
      <c r="A221">
        <f>ROW(Source!A80)</f>
        <v>80</v>
      </c>
      <c r="B221">
        <v>7700554</v>
      </c>
      <c r="C221">
        <v>7700550</v>
      </c>
      <c r="D221">
        <v>6298444</v>
      </c>
      <c r="E221">
        <v>1</v>
      </c>
      <c r="F221">
        <v>1</v>
      </c>
      <c r="G221">
        <v>1</v>
      </c>
      <c r="H221">
        <v>2</v>
      </c>
      <c r="I221" t="s">
        <v>275</v>
      </c>
      <c r="J221" t="s">
        <v>276</v>
      </c>
      <c r="K221" t="s">
        <v>277</v>
      </c>
      <c r="L221">
        <v>1480</v>
      </c>
      <c r="N221">
        <v>1013</v>
      </c>
      <c r="O221" t="s">
        <v>278</v>
      </c>
      <c r="P221" t="s">
        <v>279</v>
      </c>
      <c r="Q221">
        <v>1</v>
      </c>
      <c r="Y221">
        <v>0.04</v>
      </c>
      <c r="AA221">
        <v>0</v>
      </c>
      <c r="AB221">
        <v>134.99</v>
      </c>
      <c r="AC221">
        <v>11.81</v>
      </c>
      <c r="AD221">
        <v>0</v>
      </c>
      <c r="AN221">
        <v>0</v>
      </c>
      <c r="AO221">
        <v>1</v>
      </c>
      <c r="AP221">
        <v>0</v>
      </c>
      <c r="AQ221">
        <v>0</v>
      </c>
      <c r="AR221">
        <v>0</v>
      </c>
      <c r="AT221">
        <v>0.04</v>
      </c>
      <c r="AV221">
        <v>0</v>
      </c>
    </row>
    <row r="222" spans="1:48" ht="12.75">
      <c r="A222">
        <f>ROW(Source!A80)</f>
        <v>80</v>
      </c>
      <c r="B222">
        <v>7700555</v>
      </c>
      <c r="C222">
        <v>7700550</v>
      </c>
      <c r="D222">
        <v>6300746</v>
      </c>
      <c r="E222">
        <v>1</v>
      </c>
      <c r="F222">
        <v>1</v>
      </c>
      <c r="G222">
        <v>1</v>
      </c>
      <c r="H222">
        <v>2</v>
      </c>
      <c r="I222" t="s">
        <v>374</v>
      </c>
      <c r="J222" t="s">
        <v>375</v>
      </c>
      <c r="K222" t="s">
        <v>376</v>
      </c>
      <c r="L222">
        <v>1368</v>
      </c>
      <c r="N222">
        <v>1011</v>
      </c>
      <c r="O222" t="s">
        <v>283</v>
      </c>
      <c r="P222" t="s">
        <v>283</v>
      </c>
      <c r="Q222">
        <v>1</v>
      </c>
      <c r="Y222">
        <v>0.04</v>
      </c>
      <c r="AA222">
        <v>0</v>
      </c>
      <c r="AB222">
        <v>70.53</v>
      </c>
      <c r="AC222">
        <v>33.66</v>
      </c>
      <c r="AD222">
        <v>0</v>
      </c>
      <c r="AN222">
        <v>0</v>
      </c>
      <c r="AO222">
        <v>1</v>
      </c>
      <c r="AP222">
        <v>0</v>
      </c>
      <c r="AQ222">
        <v>0</v>
      </c>
      <c r="AR222">
        <v>0</v>
      </c>
      <c r="AT222">
        <v>0.04</v>
      </c>
      <c r="AV222">
        <v>0</v>
      </c>
    </row>
    <row r="223" spans="1:48" ht="12.75">
      <c r="A223">
        <f>ROW(Source!A80)</f>
        <v>80</v>
      </c>
      <c r="B223">
        <v>7700780</v>
      </c>
      <c r="C223">
        <v>7700550</v>
      </c>
      <c r="D223">
        <v>0</v>
      </c>
      <c r="E223">
        <v>0</v>
      </c>
      <c r="F223">
        <v>1</v>
      </c>
      <c r="G223">
        <v>1</v>
      </c>
      <c r="H223">
        <v>3</v>
      </c>
      <c r="K223" t="s">
        <v>531</v>
      </c>
      <c r="L223">
        <v>1371</v>
      </c>
      <c r="N223">
        <v>1013</v>
      </c>
      <c r="O223" t="s">
        <v>43</v>
      </c>
      <c r="P223" t="s">
        <v>43</v>
      </c>
      <c r="Q223">
        <v>1</v>
      </c>
      <c r="Y223">
        <v>2.25</v>
      </c>
      <c r="AA223">
        <v>107.21</v>
      </c>
      <c r="AB223">
        <v>0</v>
      </c>
      <c r="AC223">
        <v>0</v>
      </c>
      <c r="AD223">
        <v>0</v>
      </c>
      <c r="AN223">
        <v>0</v>
      </c>
      <c r="AO223">
        <v>0</v>
      </c>
      <c r="AP223">
        <v>2</v>
      </c>
      <c r="AQ223">
        <v>0</v>
      </c>
      <c r="AR223">
        <v>0</v>
      </c>
      <c r="AT223">
        <v>2.25</v>
      </c>
      <c r="AV223">
        <v>0</v>
      </c>
    </row>
    <row r="224" spans="1:48" ht="12.75">
      <c r="A224">
        <f>ROW(Source!A80)</f>
        <v>80</v>
      </c>
      <c r="B224">
        <v>7700783</v>
      </c>
      <c r="C224">
        <v>7700550</v>
      </c>
      <c r="D224">
        <v>0</v>
      </c>
      <c r="E224">
        <v>0</v>
      </c>
      <c r="F224">
        <v>1</v>
      </c>
      <c r="G224">
        <v>1</v>
      </c>
      <c r="H224">
        <v>3</v>
      </c>
      <c r="K224" t="s">
        <v>188</v>
      </c>
      <c r="L224">
        <v>1371</v>
      </c>
      <c r="N224">
        <v>1013</v>
      </c>
      <c r="O224" t="s">
        <v>43</v>
      </c>
      <c r="P224" t="s">
        <v>43</v>
      </c>
      <c r="Q224">
        <v>1</v>
      </c>
      <c r="Y224">
        <v>0.25</v>
      </c>
      <c r="AA224">
        <v>119.91</v>
      </c>
      <c r="AB224">
        <v>0</v>
      </c>
      <c r="AC224">
        <v>0</v>
      </c>
      <c r="AD224">
        <v>0</v>
      </c>
      <c r="AN224">
        <v>0</v>
      </c>
      <c r="AO224">
        <v>0</v>
      </c>
      <c r="AP224">
        <v>2</v>
      </c>
      <c r="AQ224">
        <v>0</v>
      </c>
      <c r="AR224">
        <v>0</v>
      </c>
      <c r="AT224">
        <v>0.25</v>
      </c>
      <c r="AV224">
        <v>0</v>
      </c>
    </row>
    <row r="225" spans="1:48" ht="12.75">
      <c r="A225">
        <f>ROW(Source!A80)</f>
        <v>80</v>
      </c>
      <c r="B225">
        <v>7700786</v>
      </c>
      <c r="C225">
        <v>7700550</v>
      </c>
      <c r="D225">
        <v>0</v>
      </c>
      <c r="E225">
        <v>0</v>
      </c>
      <c r="F225">
        <v>1</v>
      </c>
      <c r="G225">
        <v>1</v>
      </c>
      <c r="H225">
        <v>3</v>
      </c>
      <c r="K225" t="s">
        <v>532</v>
      </c>
      <c r="L225">
        <v>1371</v>
      </c>
      <c r="N225">
        <v>1013</v>
      </c>
      <c r="O225" t="s">
        <v>43</v>
      </c>
      <c r="P225" t="s">
        <v>43</v>
      </c>
      <c r="Q225">
        <v>1</v>
      </c>
      <c r="Y225">
        <v>0.5</v>
      </c>
      <c r="AA225">
        <v>28.59</v>
      </c>
      <c r="AB225">
        <v>0</v>
      </c>
      <c r="AC225">
        <v>0</v>
      </c>
      <c r="AD225">
        <v>0</v>
      </c>
      <c r="AN225">
        <v>0</v>
      </c>
      <c r="AO225">
        <v>0</v>
      </c>
      <c r="AP225">
        <v>2</v>
      </c>
      <c r="AQ225">
        <v>0</v>
      </c>
      <c r="AR225">
        <v>0</v>
      </c>
      <c r="AT225">
        <v>0.5</v>
      </c>
      <c r="AV225">
        <v>0</v>
      </c>
    </row>
    <row r="226" spans="1:48" ht="12.75">
      <c r="A226">
        <f>ROW(Source!A80)</f>
        <v>80</v>
      </c>
      <c r="B226">
        <v>7700788</v>
      </c>
      <c r="C226">
        <v>7700550</v>
      </c>
      <c r="D226">
        <v>0</v>
      </c>
      <c r="E226">
        <v>0</v>
      </c>
      <c r="F226">
        <v>1</v>
      </c>
      <c r="G226">
        <v>1</v>
      </c>
      <c r="H226">
        <v>3</v>
      </c>
      <c r="K226" t="s">
        <v>190</v>
      </c>
      <c r="L226">
        <v>1371</v>
      </c>
      <c r="N226">
        <v>1013</v>
      </c>
      <c r="O226" t="s">
        <v>43</v>
      </c>
      <c r="P226" t="s">
        <v>43</v>
      </c>
      <c r="Q226">
        <v>1</v>
      </c>
      <c r="Y226">
        <v>0.25</v>
      </c>
      <c r="AA226">
        <v>47.17</v>
      </c>
      <c r="AB226">
        <v>0</v>
      </c>
      <c r="AC226">
        <v>0</v>
      </c>
      <c r="AD226">
        <v>0</v>
      </c>
      <c r="AN226">
        <v>0</v>
      </c>
      <c r="AO226">
        <v>0</v>
      </c>
      <c r="AP226">
        <v>2</v>
      </c>
      <c r="AQ226">
        <v>0</v>
      </c>
      <c r="AR226">
        <v>0</v>
      </c>
      <c r="AT226">
        <v>0.25</v>
      </c>
      <c r="AV226">
        <v>0</v>
      </c>
    </row>
    <row r="227" spans="1:48" ht="12.75">
      <c r="A227">
        <f>ROW(Source!A80)</f>
        <v>80</v>
      </c>
      <c r="B227">
        <v>7700790</v>
      </c>
      <c r="C227">
        <v>7700550</v>
      </c>
      <c r="D227">
        <v>0</v>
      </c>
      <c r="E227">
        <v>0</v>
      </c>
      <c r="F227">
        <v>1</v>
      </c>
      <c r="G227">
        <v>1</v>
      </c>
      <c r="H227">
        <v>3</v>
      </c>
      <c r="K227" t="s">
        <v>533</v>
      </c>
      <c r="L227">
        <v>1371</v>
      </c>
      <c r="N227">
        <v>1013</v>
      </c>
      <c r="O227" t="s">
        <v>43</v>
      </c>
      <c r="P227" t="s">
        <v>43</v>
      </c>
      <c r="Q227">
        <v>1</v>
      </c>
      <c r="Y227">
        <v>1</v>
      </c>
      <c r="AA227">
        <v>10.86</v>
      </c>
      <c r="AB227">
        <v>0</v>
      </c>
      <c r="AC227">
        <v>0</v>
      </c>
      <c r="AD227">
        <v>0</v>
      </c>
      <c r="AN227">
        <v>0</v>
      </c>
      <c r="AO227">
        <v>0</v>
      </c>
      <c r="AP227">
        <v>2</v>
      </c>
      <c r="AQ227">
        <v>0</v>
      </c>
      <c r="AR227">
        <v>0</v>
      </c>
      <c r="AT227">
        <v>1</v>
      </c>
      <c r="AV227">
        <v>0</v>
      </c>
    </row>
    <row r="228" spans="1:48" ht="12.75">
      <c r="A228">
        <f>ROW(Source!A80)</f>
        <v>80</v>
      </c>
      <c r="B228">
        <v>7700792</v>
      </c>
      <c r="C228">
        <v>7700550</v>
      </c>
      <c r="D228">
        <v>0</v>
      </c>
      <c r="E228">
        <v>0</v>
      </c>
      <c r="F228">
        <v>1</v>
      </c>
      <c r="G228">
        <v>1</v>
      </c>
      <c r="H228">
        <v>3</v>
      </c>
      <c r="K228" t="s">
        <v>533</v>
      </c>
      <c r="L228">
        <v>1371</v>
      </c>
      <c r="N228">
        <v>1013</v>
      </c>
      <c r="O228" t="s">
        <v>43</v>
      </c>
      <c r="P228" t="s">
        <v>43</v>
      </c>
      <c r="Q228">
        <v>1</v>
      </c>
      <c r="Y228">
        <v>1</v>
      </c>
      <c r="AA228">
        <v>21.44</v>
      </c>
      <c r="AB228">
        <v>0</v>
      </c>
      <c r="AC228">
        <v>0</v>
      </c>
      <c r="AD228">
        <v>0</v>
      </c>
      <c r="AN228">
        <v>0</v>
      </c>
      <c r="AO228">
        <v>0</v>
      </c>
      <c r="AP228">
        <v>2</v>
      </c>
      <c r="AQ228">
        <v>0</v>
      </c>
      <c r="AR228">
        <v>0</v>
      </c>
      <c r="AT228">
        <v>1</v>
      </c>
      <c r="AV228">
        <v>0</v>
      </c>
    </row>
    <row r="229" spans="1:48" ht="12.75">
      <c r="A229">
        <f>ROW(Source!A80)</f>
        <v>80</v>
      </c>
      <c r="B229">
        <v>7700558</v>
      </c>
      <c r="C229">
        <v>7700550</v>
      </c>
      <c r="D229">
        <v>0</v>
      </c>
      <c r="E229">
        <v>0</v>
      </c>
      <c r="F229">
        <v>1</v>
      </c>
      <c r="G229">
        <v>1</v>
      </c>
      <c r="H229">
        <v>3</v>
      </c>
      <c r="K229" t="s">
        <v>181</v>
      </c>
      <c r="L229">
        <v>1371</v>
      </c>
      <c r="N229">
        <v>1013</v>
      </c>
      <c r="O229" t="s">
        <v>43</v>
      </c>
      <c r="P229" t="s">
        <v>43</v>
      </c>
      <c r="Q229">
        <v>1</v>
      </c>
      <c r="Y229">
        <v>0.333333</v>
      </c>
      <c r="AA229">
        <v>25.98</v>
      </c>
      <c r="AB229">
        <v>0</v>
      </c>
      <c r="AC229">
        <v>0</v>
      </c>
      <c r="AD229">
        <v>0</v>
      </c>
      <c r="AN229">
        <v>0</v>
      </c>
      <c r="AO229">
        <v>0</v>
      </c>
      <c r="AP229">
        <v>2</v>
      </c>
      <c r="AQ229">
        <v>0</v>
      </c>
      <c r="AR229">
        <v>0</v>
      </c>
      <c r="AT229">
        <v>0.333333</v>
      </c>
      <c r="AV229">
        <v>0</v>
      </c>
    </row>
    <row r="230" spans="1:48" ht="12.75">
      <c r="A230">
        <f>ROW(Source!A80)</f>
        <v>80</v>
      </c>
      <c r="B230">
        <v>7700633</v>
      </c>
      <c r="C230">
        <v>7700550</v>
      </c>
      <c r="D230">
        <v>0</v>
      </c>
      <c r="E230">
        <v>0</v>
      </c>
      <c r="F230">
        <v>1</v>
      </c>
      <c r="G230">
        <v>1</v>
      </c>
      <c r="H230">
        <v>3</v>
      </c>
      <c r="K230" t="s">
        <v>182</v>
      </c>
      <c r="L230">
        <v>1371</v>
      </c>
      <c r="N230">
        <v>1013</v>
      </c>
      <c r="O230" t="s">
        <v>43</v>
      </c>
      <c r="P230" t="s">
        <v>43</v>
      </c>
      <c r="Q230">
        <v>1</v>
      </c>
      <c r="Y230">
        <v>0.583333</v>
      </c>
      <c r="AA230">
        <v>179.86</v>
      </c>
      <c r="AB230">
        <v>0</v>
      </c>
      <c r="AC230">
        <v>0</v>
      </c>
      <c r="AD230">
        <v>0</v>
      </c>
      <c r="AN230">
        <v>0</v>
      </c>
      <c r="AO230">
        <v>0</v>
      </c>
      <c r="AP230">
        <v>2</v>
      </c>
      <c r="AQ230">
        <v>0</v>
      </c>
      <c r="AR230">
        <v>0</v>
      </c>
      <c r="AT230">
        <v>0.583333</v>
      </c>
      <c r="AV230">
        <v>0</v>
      </c>
    </row>
    <row r="231" spans="1:48" ht="12.75">
      <c r="A231">
        <f>ROW(Source!A80)</f>
        <v>80</v>
      </c>
      <c r="B231">
        <v>7700777</v>
      </c>
      <c r="C231">
        <v>7700550</v>
      </c>
      <c r="D231">
        <v>0</v>
      </c>
      <c r="E231">
        <v>0</v>
      </c>
      <c r="F231">
        <v>1</v>
      </c>
      <c r="G231">
        <v>1</v>
      </c>
      <c r="H231">
        <v>3</v>
      </c>
      <c r="K231" t="s">
        <v>183</v>
      </c>
      <c r="L231">
        <v>1371</v>
      </c>
      <c r="N231">
        <v>1013</v>
      </c>
      <c r="O231" t="s">
        <v>43</v>
      </c>
      <c r="P231" t="s">
        <v>43</v>
      </c>
      <c r="Q231">
        <v>1</v>
      </c>
      <c r="Y231">
        <v>0.166667</v>
      </c>
      <c r="AA231">
        <v>319.76</v>
      </c>
      <c r="AB231">
        <v>0</v>
      </c>
      <c r="AC231">
        <v>0</v>
      </c>
      <c r="AD231">
        <v>0</v>
      </c>
      <c r="AN231">
        <v>0</v>
      </c>
      <c r="AO231">
        <v>0</v>
      </c>
      <c r="AP231">
        <v>2</v>
      </c>
      <c r="AQ231">
        <v>0</v>
      </c>
      <c r="AR231">
        <v>0</v>
      </c>
      <c r="AT231">
        <v>0.166667</v>
      </c>
      <c r="AV231">
        <v>0</v>
      </c>
    </row>
    <row r="232" spans="1:48" ht="12.75">
      <c r="A232">
        <f>ROW(Source!A80)</f>
        <v>80</v>
      </c>
      <c r="B232">
        <v>7700556</v>
      </c>
      <c r="C232">
        <v>7700550</v>
      </c>
      <c r="D232">
        <v>6332585</v>
      </c>
      <c r="E232">
        <v>1</v>
      </c>
      <c r="F232">
        <v>1</v>
      </c>
      <c r="G232">
        <v>1</v>
      </c>
      <c r="H232">
        <v>3</v>
      </c>
      <c r="I232" t="s">
        <v>460</v>
      </c>
      <c r="J232" t="s">
        <v>461</v>
      </c>
      <c r="K232" t="s">
        <v>462</v>
      </c>
      <c r="L232">
        <v>1346</v>
      </c>
      <c r="N232">
        <v>1009</v>
      </c>
      <c r="O232" t="s">
        <v>306</v>
      </c>
      <c r="P232" t="s">
        <v>306</v>
      </c>
      <c r="Q232">
        <v>1</v>
      </c>
      <c r="Y232">
        <v>0.06</v>
      </c>
      <c r="AA232">
        <v>19.08</v>
      </c>
      <c r="AB232">
        <v>0</v>
      </c>
      <c r="AC232">
        <v>0</v>
      </c>
      <c r="AD232">
        <v>0</v>
      </c>
      <c r="AN232">
        <v>0</v>
      </c>
      <c r="AO232">
        <v>1</v>
      </c>
      <c r="AP232">
        <v>0</v>
      </c>
      <c r="AQ232">
        <v>0</v>
      </c>
      <c r="AR232">
        <v>0</v>
      </c>
      <c r="AT232">
        <v>0.06</v>
      </c>
      <c r="AV232">
        <v>0</v>
      </c>
    </row>
    <row r="233" spans="1:48" ht="12.75">
      <c r="A233">
        <f>ROW(Source!A80)</f>
        <v>80</v>
      </c>
      <c r="B233">
        <v>7700557</v>
      </c>
      <c r="C233">
        <v>7700550</v>
      </c>
      <c r="D233">
        <v>6358182</v>
      </c>
      <c r="E233">
        <v>1</v>
      </c>
      <c r="F233">
        <v>1</v>
      </c>
      <c r="G233">
        <v>1</v>
      </c>
      <c r="H233">
        <v>3</v>
      </c>
      <c r="I233" t="s">
        <v>534</v>
      </c>
      <c r="J233" t="s">
        <v>535</v>
      </c>
      <c r="K233" t="s">
        <v>536</v>
      </c>
      <c r="L233">
        <v>1355</v>
      </c>
      <c r="N233">
        <v>1010</v>
      </c>
      <c r="O233" t="s">
        <v>141</v>
      </c>
      <c r="P233" t="s">
        <v>141</v>
      </c>
      <c r="Q233">
        <v>100</v>
      </c>
      <c r="Y233">
        <v>0.02</v>
      </c>
      <c r="AA233">
        <v>97.5</v>
      </c>
      <c r="AB233">
        <v>0</v>
      </c>
      <c r="AC233">
        <v>0</v>
      </c>
      <c r="AD233">
        <v>0</v>
      </c>
      <c r="AN233">
        <v>0</v>
      </c>
      <c r="AO233">
        <v>1</v>
      </c>
      <c r="AP233">
        <v>0</v>
      </c>
      <c r="AQ233">
        <v>0</v>
      </c>
      <c r="AR233">
        <v>0</v>
      </c>
      <c r="AT233">
        <v>0.02</v>
      </c>
      <c r="AV233">
        <v>0</v>
      </c>
    </row>
    <row r="234" spans="1:48" ht="12.75">
      <c r="A234">
        <f>ROW(Source!A84)</f>
        <v>84</v>
      </c>
      <c r="B234">
        <v>7704255</v>
      </c>
      <c r="C234">
        <v>7704254</v>
      </c>
      <c r="D234">
        <v>5612363</v>
      </c>
      <c r="E234">
        <v>1</v>
      </c>
      <c r="F234">
        <v>1</v>
      </c>
      <c r="G234">
        <v>1</v>
      </c>
      <c r="H234">
        <v>1</v>
      </c>
      <c r="I234" t="s">
        <v>537</v>
      </c>
      <c r="K234" t="s">
        <v>538</v>
      </c>
      <c r="L234">
        <v>1476</v>
      </c>
      <c r="N234">
        <v>1013</v>
      </c>
      <c r="O234" t="s">
        <v>271</v>
      </c>
      <c r="P234" t="s">
        <v>272</v>
      </c>
      <c r="Q234">
        <v>1</v>
      </c>
      <c r="Y234">
        <v>1.62</v>
      </c>
      <c r="AA234">
        <v>0</v>
      </c>
      <c r="AB234">
        <v>0</v>
      </c>
      <c r="AC234">
        <v>0</v>
      </c>
      <c r="AD234">
        <v>10.64</v>
      </c>
      <c r="AN234">
        <v>0</v>
      </c>
      <c r="AO234">
        <v>1</v>
      </c>
      <c r="AP234">
        <v>0</v>
      </c>
      <c r="AQ234">
        <v>0</v>
      </c>
      <c r="AR234">
        <v>0</v>
      </c>
      <c r="AT234">
        <v>1.62</v>
      </c>
      <c r="AV234">
        <v>1</v>
      </c>
    </row>
    <row r="235" spans="1:48" ht="12.75">
      <c r="A235">
        <f>ROW(Source!A84)</f>
        <v>84</v>
      </c>
      <c r="B235">
        <v>7704256</v>
      </c>
      <c r="C235">
        <v>7704254</v>
      </c>
      <c r="D235">
        <v>121548</v>
      </c>
      <c r="E235">
        <v>1</v>
      </c>
      <c r="F235">
        <v>1</v>
      </c>
      <c r="G235">
        <v>1</v>
      </c>
      <c r="H235">
        <v>1</v>
      </c>
      <c r="I235" t="s">
        <v>24</v>
      </c>
      <c r="K235" t="s">
        <v>273</v>
      </c>
      <c r="L235">
        <v>608254</v>
      </c>
      <c r="N235">
        <v>1013</v>
      </c>
      <c r="O235" t="s">
        <v>274</v>
      </c>
      <c r="P235" t="s">
        <v>274</v>
      </c>
      <c r="Q235">
        <v>1</v>
      </c>
      <c r="Y235">
        <v>0.008</v>
      </c>
      <c r="AA235">
        <v>0</v>
      </c>
      <c r="AB235">
        <v>0</v>
      </c>
      <c r="AC235">
        <v>0</v>
      </c>
      <c r="AD235">
        <v>0</v>
      </c>
      <c r="AN235">
        <v>0</v>
      </c>
      <c r="AO235">
        <v>1</v>
      </c>
      <c r="AP235">
        <v>0</v>
      </c>
      <c r="AQ235">
        <v>0</v>
      </c>
      <c r="AR235">
        <v>0</v>
      </c>
      <c r="AT235">
        <v>0.008</v>
      </c>
      <c r="AV235">
        <v>2</v>
      </c>
    </row>
    <row r="236" spans="1:48" ht="12.75">
      <c r="A236">
        <f>ROW(Source!A84)</f>
        <v>84</v>
      </c>
      <c r="B236">
        <v>7704257</v>
      </c>
      <c r="C236">
        <v>7704254</v>
      </c>
      <c r="D236">
        <v>6298444</v>
      </c>
      <c r="E236">
        <v>1</v>
      </c>
      <c r="F236">
        <v>1</v>
      </c>
      <c r="G236">
        <v>1</v>
      </c>
      <c r="H236">
        <v>2</v>
      </c>
      <c r="I236" t="s">
        <v>275</v>
      </c>
      <c r="J236" t="s">
        <v>276</v>
      </c>
      <c r="K236" t="s">
        <v>277</v>
      </c>
      <c r="L236">
        <v>1480</v>
      </c>
      <c r="N236">
        <v>1013</v>
      </c>
      <c r="O236" t="s">
        <v>278</v>
      </c>
      <c r="P236" t="s">
        <v>279</v>
      </c>
      <c r="Q236">
        <v>1</v>
      </c>
      <c r="Y236">
        <v>0.004</v>
      </c>
      <c r="AA236">
        <v>0</v>
      </c>
      <c r="AB236">
        <v>134.99</v>
      </c>
      <c r="AC236">
        <v>11.81</v>
      </c>
      <c r="AD236">
        <v>0</v>
      </c>
      <c r="AN236">
        <v>0</v>
      </c>
      <c r="AO236">
        <v>1</v>
      </c>
      <c r="AP236">
        <v>0</v>
      </c>
      <c r="AQ236">
        <v>0</v>
      </c>
      <c r="AR236">
        <v>0</v>
      </c>
      <c r="AT236">
        <v>0.004</v>
      </c>
      <c r="AV236">
        <v>0</v>
      </c>
    </row>
    <row r="237" spans="1:48" ht="12.75">
      <c r="A237">
        <f>ROW(Source!A84)</f>
        <v>84</v>
      </c>
      <c r="B237">
        <v>7704258</v>
      </c>
      <c r="C237">
        <v>7704254</v>
      </c>
      <c r="D237">
        <v>6300327</v>
      </c>
      <c r="E237">
        <v>1</v>
      </c>
      <c r="F237">
        <v>1</v>
      </c>
      <c r="G237">
        <v>1</v>
      </c>
      <c r="H237">
        <v>2</v>
      </c>
      <c r="I237" t="s">
        <v>419</v>
      </c>
      <c r="J237" t="s">
        <v>322</v>
      </c>
      <c r="K237" t="s">
        <v>420</v>
      </c>
      <c r="L237">
        <v>1368</v>
      </c>
      <c r="N237">
        <v>1011</v>
      </c>
      <c r="O237" t="s">
        <v>283</v>
      </c>
      <c r="P237" t="s">
        <v>283</v>
      </c>
      <c r="Q237">
        <v>1</v>
      </c>
      <c r="Y237">
        <v>0.06</v>
      </c>
      <c r="AA237">
        <v>0</v>
      </c>
      <c r="AB237">
        <v>2.95</v>
      </c>
      <c r="AC237">
        <v>0</v>
      </c>
      <c r="AD237">
        <v>0</v>
      </c>
      <c r="AN237">
        <v>0</v>
      </c>
      <c r="AO237">
        <v>1</v>
      </c>
      <c r="AP237">
        <v>0</v>
      </c>
      <c r="AQ237">
        <v>0</v>
      </c>
      <c r="AR237">
        <v>0</v>
      </c>
      <c r="AT237">
        <v>0.06</v>
      </c>
      <c r="AV237">
        <v>0</v>
      </c>
    </row>
    <row r="238" spans="1:48" ht="12.75">
      <c r="A238">
        <f>ROW(Source!A84)</f>
        <v>84</v>
      </c>
      <c r="B238">
        <v>7704259</v>
      </c>
      <c r="C238">
        <v>7704254</v>
      </c>
      <c r="D238">
        <v>6300501</v>
      </c>
      <c r="E238">
        <v>1</v>
      </c>
      <c r="F238">
        <v>1</v>
      </c>
      <c r="G238">
        <v>1</v>
      </c>
      <c r="H238">
        <v>2</v>
      </c>
      <c r="I238" t="s">
        <v>440</v>
      </c>
      <c r="J238" t="s">
        <v>330</v>
      </c>
      <c r="K238" t="s">
        <v>441</v>
      </c>
      <c r="L238">
        <v>1480</v>
      </c>
      <c r="N238">
        <v>1013</v>
      </c>
      <c r="O238" t="s">
        <v>278</v>
      </c>
      <c r="P238" t="s">
        <v>279</v>
      </c>
      <c r="Q238">
        <v>1</v>
      </c>
      <c r="Y238">
        <v>0.15</v>
      </c>
      <c r="AA238">
        <v>0</v>
      </c>
      <c r="AB238">
        <v>1.33</v>
      </c>
      <c r="AC238">
        <v>0</v>
      </c>
      <c r="AD238">
        <v>0</v>
      </c>
      <c r="AN238">
        <v>0</v>
      </c>
      <c r="AO238">
        <v>1</v>
      </c>
      <c r="AP238">
        <v>0</v>
      </c>
      <c r="AQ238">
        <v>0</v>
      </c>
      <c r="AR238">
        <v>0</v>
      </c>
      <c r="AT238">
        <v>0.15</v>
      </c>
      <c r="AV238">
        <v>0</v>
      </c>
    </row>
    <row r="239" spans="1:48" ht="12.75">
      <c r="A239">
        <f>ROW(Source!A84)</f>
        <v>84</v>
      </c>
      <c r="B239">
        <v>7704260</v>
      </c>
      <c r="C239">
        <v>7704254</v>
      </c>
      <c r="D239">
        <v>6300746</v>
      </c>
      <c r="E239">
        <v>1</v>
      </c>
      <c r="F239">
        <v>1</v>
      </c>
      <c r="G239">
        <v>1</v>
      </c>
      <c r="H239">
        <v>2</v>
      </c>
      <c r="I239" t="s">
        <v>374</v>
      </c>
      <c r="J239" t="s">
        <v>375</v>
      </c>
      <c r="K239" t="s">
        <v>376</v>
      </c>
      <c r="L239">
        <v>1368</v>
      </c>
      <c r="N239">
        <v>1011</v>
      </c>
      <c r="O239" t="s">
        <v>283</v>
      </c>
      <c r="P239" t="s">
        <v>283</v>
      </c>
      <c r="Q239">
        <v>1</v>
      </c>
      <c r="Y239">
        <v>0.004</v>
      </c>
      <c r="AA239">
        <v>0</v>
      </c>
      <c r="AB239">
        <v>70.53</v>
      </c>
      <c r="AC239">
        <v>33.66</v>
      </c>
      <c r="AD239">
        <v>0</v>
      </c>
      <c r="AN239">
        <v>0</v>
      </c>
      <c r="AO239">
        <v>1</v>
      </c>
      <c r="AP239">
        <v>0</v>
      </c>
      <c r="AQ239">
        <v>0</v>
      </c>
      <c r="AR239">
        <v>0</v>
      </c>
      <c r="AT239">
        <v>0.004</v>
      </c>
      <c r="AV239">
        <v>0</v>
      </c>
    </row>
    <row r="240" spans="1:48" ht="12.75">
      <c r="A240">
        <f>ROW(Source!A84)</f>
        <v>84</v>
      </c>
      <c r="B240">
        <v>7704272</v>
      </c>
      <c r="C240">
        <v>7704254</v>
      </c>
      <c r="D240">
        <v>0</v>
      </c>
      <c r="E240">
        <v>0</v>
      </c>
      <c r="F240">
        <v>1</v>
      </c>
      <c r="G240">
        <v>1</v>
      </c>
      <c r="H240">
        <v>3</v>
      </c>
      <c r="K240" t="s">
        <v>188</v>
      </c>
      <c r="L240">
        <v>1371</v>
      </c>
      <c r="N240">
        <v>1013</v>
      </c>
      <c r="O240" t="s">
        <v>43</v>
      </c>
      <c r="P240" t="s">
        <v>43</v>
      </c>
      <c r="Q240">
        <v>1</v>
      </c>
      <c r="Y240">
        <v>0.75</v>
      </c>
      <c r="AA240">
        <v>119.91</v>
      </c>
      <c r="AB240">
        <v>0</v>
      </c>
      <c r="AC240">
        <v>0</v>
      </c>
      <c r="AD240">
        <v>0</v>
      </c>
      <c r="AN240">
        <v>0</v>
      </c>
      <c r="AO240">
        <v>0</v>
      </c>
      <c r="AP240">
        <v>2</v>
      </c>
      <c r="AQ240">
        <v>0</v>
      </c>
      <c r="AR240">
        <v>0</v>
      </c>
      <c r="AT240">
        <v>0.75</v>
      </c>
      <c r="AV240">
        <v>0</v>
      </c>
    </row>
    <row r="241" spans="1:48" ht="12.75">
      <c r="A241">
        <f>ROW(Source!A84)</f>
        <v>84</v>
      </c>
      <c r="B241">
        <v>7704274</v>
      </c>
      <c r="C241">
        <v>7704254</v>
      </c>
      <c r="D241">
        <v>0</v>
      </c>
      <c r="E241">
        <v>0</v>
      </c>
      <c r="F241">
        <v>1</v>
      </c>
      <c r="G241">
        <v>1</v>
      </c>
      <c r="H241">
        <v>3</v>
      </c>
      <c r="K241" t="s">
        <v>539</v>
      </c>
      <c r="L241">
        <v>1371</v>
      </c>
      <c r="N241">
        <v>1013</v>
      </c>
      <c r="O241" t="s">
        <v>43</v>
      </c>
      <c r="P241" t="s">
        <v>43</v>
      </c>
      <c r="Q241">
        <v>1</v>
      </c>
      <c r="Y241">
        <v>0.25</v>
      </c>
      <c r="AA241">
        <v>47.8</v>
      </c>
      <c r="AB241">
        <v>0</v>
      </c>
      <c r="AC241">
        <v>0</v>
      </c>
      <c r="AD241">
        <v>0</v>
      </c>
      <c r="AN241">
        <v>0</v>
      </c>
      <c r="AO241">
        <v>0</v>
      </c>
      <c r="AP241">
        <v>2</v>
      </c>
      <c r="AQ241">
        <v>0</v>
      </c>
      <c r="AR241">
        <v>0</v>
      </c>
      <c r="AT241">
        <v>0.25</v>
      </c>
      <c r="AV241">
        <v>0</v>
      </c>
    </row>
    <row r="242" spans="1:48" ht="12.75">
      <c r="A242">
        <f>ROW(Source!A84)</f>
        <v>84</v>
      </c>
      <c r="B242">
        <v>7704276</v>
      </c>
      <c r="C242">
        <v>7704254</v>
      </c>
      <c r="D242">
        <v>0</v>
      </c>
      <c r="E242">
        <v>0</v>
      </c>
      <c r="F242">
        <v>1</v>
      </c>
      <c r="G242">
        <v>1</v>
      </c>
      <c r="H242">
        <v>3</v>
      </c>
      <c r="K242" t="s">
        <v>188</v>
      </c>
      <c r="L242">
        <v>1371</v>
      </c>
      <c r="N242">
        <v>1013</v>
      </c>
      <c r="O242" t="s">
        <v>43</v>
      </c>
      <c r="P242" t="s">
        <v>43</v>
      </c>
      <c r="Q242">
        <v>1</v>
      </c>
      <c r="Y242">
        <v>0.5</v>
      </c>
      <c r="AA242">
        <v>119.91</v>
      </c>
      <c r="AB242">
        <v>0</v>
      </c>
      <c r="AC242">
        <v>0</v>
      </c>
      <c r="AD242">
        <v>0</v>
      </c>
      <c r="AN242">
        <v>0</v>
      </c>
      <c r="AO242">
        <v>0</v>
      </c>
      <c r="AP242">
        <v>2</v>
      </c>
      <c r="AQ242">
        <v>0</v>
      </c>
      <c r="AR242">
        <v>0</v>
      </c>
      <c r="AT242">
        <v>0.5</v>
      </c>
      <c r="AV242">
        <v>0</v>
      </c>
    </row>
    <row r="243" spans="1:48" ht="12.75">
      <c r="A243">
        <f>ROW(Source!A84)</f>
        <v>84</v>
      </c>
      <c r="B243">
        <v>7704278</v>
      </c>
      <c r="C243">
        <v>7704254</v>
      </c>
      <c r="D243">
        <v>0</v>
      </c>
      <c r="E243">
        <v>0</v>
      </c>
      <c r="F243">
        <v>1</v>
      </c>
      <c r="G243">
        <v>1</v>
      </c>
      <c r="H243">
        <v>3</v>
      </c>
      <c r="K243" t="s">
        <v>190</v>
      </c>
      <c r="L243">
        <v>1371</v>
      </c>
      <c r="N243">
        <v>1013</v>
      </c>
      <c r="O243" t="s">
        <v>43</v>
      </c>
      <c r="P243" t="s">
        <v>43</v>
      </c>
      <c r="Q243">
        <v>1</v>
      </c>
      <c r="Y243">
        <v>0.5</v>
      </c>
      <c r="AA243">
        <v>47.17</v>
      </c>
      <c r="AB243">
        <v>0</v>
      </c>
      <c r="AC243">
        <v>0</v>
      </c>
      <c r="AD243">
        <v>0</v>
      </c>
      <c r="AN243">
        <v>0</v>
      </c>
      <c r="AO243">
        <v>0</v>
      </c>
      <c r="AP243">
        <v>2</v>
      </c>
      <c r="AQ243">
        <v>0</v>
      </c>
      <c r="AR243">
        <v>0</v>
      </c>
      <c r="AT243">
        <v>0.5</v>
      </c>
      <c r="AV243">
        <v>0</v>
      </c>
    </row>
    <row r="244" spans="1:48" ht="12.75">
      <c r="A244">
        <f>ROW(Source!A84)</f>
        <v>84</v>
      </c>
      <c r="B244">
        <v>7704270</v>
      </c>
      <c r="C244">
        <v>7704254</v>
      </c>
      <c r="D244">
        <v>0</v>
      </c>
      <c r="E244">
        <v>0</v>
      </c>
      <c r="F244">
        <v>1</v>
      </c>
      <c r="G244">
        <v>1</v>
      </c>
      <c r="H244">
        <v>3</v>
      </c>
      <c r="L244">
        <v>0</v>
      </c>
      <c r="Y244">
        <v>0</v>
      </c>
      <c r="AA244">
        <v>0</v>
      </c>
      <c r="AB244">
        <v>0</v>
      </c>
      <c r="AC244">
        <v>0</v>
      </c>
      <c r="AD244">
        <v>0</v>
      </c>
      <c r="AN244">
        <v>0</v>
      </c>
      <c r="AO244">
        <v>0</v>
      </c>
      <c r="AP244">
        <v>2</v>
      </c>
      <c r="AQ244">
        <v>0</v>
      </c>
      <c r="AR244">
        <v>0</v>
      </c>
      <c r="AT244">
        <v>0</v>
      </c>
      <c r="AV244">
        <v>0</v>
      </c>
    </row>
    <row r="245" spans="1:48" ht="12.75">
      <c r="A245">
        <f>ROW(Source!A84)</f>
        <v>84</v>
      </c>
      <c r="B245">
        <v>7704261</v>
      </c>
      <c r="C245">
        <v>7704254</v>
      </c>
      <c r="D245">
        <v>6332572</v>
      </c>
      <c r="E245">
        <v>1</v>
      </c>
      <c r="F245">
        <v>1</v>
      </c>
      <c r="G245">
        <v>1</v>
      </c>
      <c r="H245">
        <v>3</v>
      </c>
      <c r="I245" t="s">
        <v>511</v>
      </c>
      <c r="J245" t="s">
        <v>512</v>
      </c>
      <c r="K245" t="s">
        <v>513</v>
      </c>
      <c r="L245">
        <v>1346</v>
      </c>
      <c r="N245">
        <v>1009</v>
      </c>
      <c r="O245" t="s">
        <v>306</v>
      </c>
      <c r="P245" t="s">
        <v>306</v>
      </c>
      <c r="Q245">
        <v>1</v>
      </c>
      <c r="Y245">
        <v>0.003</v>
      </c>
      <c r="AA245">
        <v>35.68</v>
      </c>
      <c r="AB245">
        <v>0</v>
      </c>
      <c r="AC245">
        <v>0</v>
      </c>
      <c r="AD245">
        <v>0</v>
      </c>
      <c r="AN245">
        <v>0</v>
      </c>
      <c r="AO245">
        <v>1</v>
      </c>
      <c r="AP245">
        <v>0</v>
      </c>
      <c r="AQ245">
        <v>0</v>
      </c>
      <c r="AR245">
        <v>0</v>
      </c>
      <c r="AT245">
        <v>0.003</v>
      </c>
      <c r="AV245">
        <v>0</v>
      </c>
    </row>
    <row r="246" spans="1:48" ht="12.75">
      <c r="A246">
        <f>ROW(Source!A84)</f>
        <v>84</v>
      </c>
      <c r="B246">
        <v>7704262</v>
      </c>
      <c r="C246">
        <v>7704254</v>
      </c>
      <c r="D246">
        <v>6332585</v>
      </c>
      <c r="E246">
        <v>1</v>
      </c>
      <c r="F246">
        <v>1</v>
      </c>
      <c r="G246">
        <v>1</v>
      </c>
      <c r="H246">
        <v>3</v>
      </c>
      <c r="I246" t="s">
        <v>460</v>
      </c>
      <c r="J246" t="s">
        <v>461</v>
      </c>
      <c r="K246" t="s">
        <v>462</v>
      </c>
      <c r="L246">
        <v>1346</v>
      </c>
      <c r="N246">
        <v>1009</v>
      </c>
      <c r="O246" t="s">
        <v>306</v>
      </c>
      <c r="P246" t="s">
        <v>306</v>
      </c>
      <c r="Q246">
        <v>1</v>
      </c>
      <c r="Y246">
        <v>0.29</v>
      </c>
      <c r="AA246">
        <v>19.08</v>
      </c>
      <c r="AB246">
        <v>0</v>
      </c>
      <c r="AC246">
        <v>0</v>
      </c>
      <c r="AD246">
        <v>0</v>
      </c>
      <c r="AN246">
        <v>0</v>
      </c>
      <c r="AO246">
        <v>1</v>
      </c>
      <c r="AP246">
        <v>0</v>
      </c>
      <c r="AQ246">
        <v>0</v>
      </c>
      <c r="AR246">
        <v>0</v>
      </c>
      <c r="AT246">
        <v>0.29</v>
      </c>
      <c r="AV246">
        <v>0</v>
      </c>
    </row>
    <row r="247" spans="1:48" ht="12.75">
      <c r="A247">
        <f>ROW(Source!A84)</f>
        <v>84</v>
      </c>
      <c r="B247">
        <v>7704263</v>
      </c>
      <c r="C247">
        <v>7704254</v>
      </c>
      <c r="D247">
        <v>6333730</v>
      </c>
      <c r="E247">
        <v>1</v>
      </c>
      <c r="F247">
        <v>1</v>
      </c>
      <c r="G247">
        <v>1</v>
      </c>
      <c r="H247">
        <v>3</v>
      </c>
      <c r="I247" t="s">
        <v>525</v>
      </c>
      <c r="J247" t="s">
        <v>526</v>
      </c>
      <c r="K247" t="s">
        <v>527</v>
      </c>
      <c r="L247">
        <v>1346</v>
      </c>
      <c r="N247">
        <v>1009</v>
      </c>
      <c r="O247" t="s">
        <v>306</v>
      </c>
      <c r="P247" t="s">
        <v>306</v>
      </c>
      <c r="Q247">
        <v>1</v>
      </c>
      <c r="Y247">
        <v>0.012</v>
      </c>
      <c r="AA247">
        <v>40.15</v>
      </c>
      <c r="AB247">
        <v>0</v>
      </c>
      <c r="AC247">
        <v>0</v>
      </c>
      <c r="AD247">
        <v>0</v>
      </c>
      <c r="AN247">
        <v>0</v>
      </c>
      <c r="AO247">
        <v>1</v>
      </c>
      <c r="AP247">
        <v>0</v>
      </c>
      <c r="AQ247">
        <v>0</v>
      </c>
      <c r="AR247">
        <v>0</v>
      </c>
      <c r="AT247">
        <v>0.012</v>
      </c>
      <c r="AV247">
        <v>0</v>
      </c>
    </row>
    <row r="248" spans="1:48" ht="12.75">
      <c r="A248">
        <f>ROW(Source!A84)</f>
        <v>84</v>
      </c>
      <c r="B248">
        <v>7704264</v>
      </c>
      <c r="C248">
        <v>7704254</v>
      </c>
      <c r="D248">
        <v>6333904</v>
      </c>
      <c r="E248">
        <v>1</v>
      </c>
      <c r="F248">
        <v>1</v>
      </c>
      <c r="G248">
        <v>1</v>
      </c>
      <c r="H248">
        <v>3</v>
      </c>
      <c r="I248" t="s">
        <v>407</v>
      </c>
      <c r="J248" t="s">
        <v>408</v>
      </c>
      <c r="K248" t="s">
        <v>409</v>
      </c>
      <c r="L248">
        <v>1346</v>
      </c>
      <c r="N248">
        <v>1009</v>
      </c>
      <c r="O248" t="s">
        <v>306</v>
      </c>
      <c r="P248" t="s">
        <v>306</v>
      </c>
      <c r="Q248">
        <v>1</v>
      </c>
      <c r="Y248">
        <v>0.105</v>
      </c>
      <c r="AA248">
        <v>12.6</v>
      </c>
      <c r="AB248">
        <v>0</v>
      </c>
      <c r="AC248">
        <v>0</v>
      </c>
      <c r="AD248">
        <v>0</v>
      </c>
      <c r="AN248">
        <v>0</v>
      </c>
      <c r="AO248">
        <v>1</v>
      </c>
      <c r="AP248">
        <v>0</v>
      </c>
      <c r="AQ248">
        <v>0</v>
      </c>
      <c r="AR248">
        <v>0</v>
      </c>
      <c r="AT248">
        <v>0.105</v>
      </c>
      <c r="AV248">
        <v>0</v>
      </c>
    </row>
    <row r="249" spans="1:48" ht="12.75">
      <c r="A249">
        <f>ROW(Source!A84)</f>
        <v>84</v>
      </c>
      <c r="B249">
        <v>7704265</v>
      </c>
      <c r="C249">
        <v>7704254</v>
      </c>
      <c r="D249">
        <v>6357766</v>
      </c>
      <c r="E249">
        <v>1</v>
      </c>
      <c r="F249">
        <v>1</v>
      </c>
      <c r="G249">
        <v>1</v>
      </c>
      <c r="H249">
        <v>3</v>
      </c>
      <c r="I249" t="s">
        <v>145</v>
      </c>
      <c r="J249" t="s">
        <v>147</v>
      </c>
      <c r="K249" t="s">
        <v>146</v>
      </c>
      <c r="L249">
        <v>1354</v>
      </c>
      <c r="N249">
        <v>1010</v>
      </c>
      <c r="O249" t="s">
        <v>20</v>
      </c>
      <c r="P249" t="s">
        <v>20</v>
      </c>
      <c r="Q249">
        <v>1</v>
      </c>
      <c r="Y249">
        <v>3.1</v>
      </c>
      <c r="AA249">
        <v>0</v>
      </c>
      <c r="AB249">
        <v>0</v>
      </c>
      <c r="AC249">
        <v>0</v>
      </c>
      <c r="AD249">
        <v>0</v>
      </c>
      <c r="AN249">
        <v>1</v>
      </c>
      <c r="AO249">
        <v>0</v>
      </c>
      <c r="AP249">
        <v>0</v>
      </c>
      <c r="AQ249">
        <v>0</v>
      </c>
      <c r="AR249">
        <v>0</v>
      </c>
      <c r="AT249">
        <v>3.1</v>
      </c>
      <c r="AV249">
        <v>0</v>
      </c>
    </row>
    <row r="250" spans="1:48" ht="12.75">
      <c r="A250">
        <f>ROW(Source!A84)</f>
        <v>84</v>
      </c>
      <c r="B250">
        <v>7704266</v>
      </c>
      <c r="C250">
        <v>7704254</v>
      </c>
      <c r="D250">
        <v>6358087</v>
      </c>
      <c r="E250">
        <v>1</v>
      </c>
      <c r="F250">
        <v>1</v>
      </c>
      <c r="G250">
        <v>1</v>
      </c>
      <c r="H250">
        <v>3</v>
      </c>
      <c r="I250" t="s">
        <v>390</v>
      </c>
      <c r="J250" t="s">
        <v>391</v>
      </c>
      <c r="K250" t="s">
        <v>392</v>
      </c>
      <c r="L250">
        <v>1355</v>
      </c>
      <c r="N250">
        <v>1010</v>
      </c>
      <c r="O250" t="s">
        <v>141</v>
      </c>
      <c r="P250" t="s">
        <v>141</v>
      </c>
      <c r="Q250">
        <v>100</v>
      </c>
      <c r="Y250">
        <v>0.031</v>
      </c>
      <c r="AA250">
        <v>142.5</v>
      </c>
      <c r="AB250">
        <v>0</v>
      </c>
      <c r="AC250">
        <v>0</v>
      </c>
      <c r="AD250">
        <v>0</v>
      </c>
      <c r="AN250">
        <v>0</v>
      </c>
      <c r="AO250">
        <v>1</v>
      </c>
      <c r="AP250">
        <v>0</v>
      </c>
      <c r="AQ250">
        <v>0</v>
      </c>
      <c r="AR250">
        <v>0</v>
      </c>
      <c r="AT250">
        <v>0.031</v>
      </c>
      <c r="AV250">
        <v>0</v>
      </c>
    </row>
    <row r="251" spans="1:48" ht="12.75">
      <c r="A251">
        <f>ROW(Source!A84)</f>
        <v>84</v>
      </c>
      <c r="B251">
        <v>7704267</v>
      </c>
      <c r="C251">
        <v>7704254</v>
      </c>
      <c r="D251">
        <v>6358116</v>
      </c>
      <c r="E251">
        <v>1</v>
      </c>
      <c r="F251">
        <v>1</v>
      </c>
      <c r="G251">
        <v>1</v>
      </c>
      <c r="H251">
        <v>3</v>
      </c>
      <c r="I251" t="s">
        <v>517</v>
      </c>
      <c r="J251" t="s">
        <v>518</v>
      </c>
      <c r="K251" t="s">
        <v>519</v>
      </c>
      <c r="L251">
        <v>1346</v>
      </c>
      <c r="N251">
        <v>1009</v>
      </c>
      <c r="O251" t="s">
        <v>306</v>
      </c>
      <c r="P251" t="s">
        <v>306</v>
      </c>
      <c r="Q251">
        <v>1</v>
      </c>
      <c r="Y251">
        <v>0.002</v>
      </c>
      <c r="AA251">
        <v>0</v>
      </c>
      <c r="AB251">
        <v>0</v>
      </c>
      <c r="AC251">
        <v>0</v>
      </c>
      <c r="AD251">
        <v>0</v>
      </c>
      <c r="AN251">
        <v>0</v>
      </c>
      <c r="AO251">
        <v>1</v>
      </c>
      <c r="AP251">
        <v>0</v>
      </c>
      <c r="AQ251">
        <v>0</v>
      </c>
      <c r="AR251">
        <v>0</v>
      </c>
      <c r="AT251">
        <v>0.002</v>
      </c>
      <c r="AV251">
        <v>0</v>
      </c>
    </row>
    <row r="252" spans="1:48" ht="12.75">
      <c r="A252">
        <f>ROW(Source!A84)</f>
        <v>84</v>
      </c>
      <c r="B252">
        <v>7704268</v>
      </c>
      <c r="C252">
        <v>7704254</v>
      </c>
      <c r="D252">
        <v>6365572</v>
      </c>
      <c r="E252">
        <v>1</v>
      </c>
      <c r="F252">
        <v>1</v>
      </c>
      <c r="G252">
        <v>1</v>
      </c>
      <c r="H252">
        <v>3</v>
      </c>
      <c r="I252" t="s">
        <v>520</v>
      </c>
      <c r="J252" t="s">
        <v>521</v>
      </c>
      <c r="K252" t="s">
        <v>522</v>
      </c>
      <c r="L252">
        <v>1346</v>
      </c>
      <c r="N252">
        <v>1009</v>
      </c>
      <c r="O252" t="s">
        <v>306</v>
      </c>
      <c r="P252" t="s">
        <v>306</v>
      </c>
      <c r="Q252">
        <v>1</v>
      </c>
      <c r="Y252">
        <v>0.008</v>
      </c>
      <c r="AA252">
        <v>30.6</v>
      </c>
      <c r="AB252">
        <v>0</v>
      </c>
      <c r="AC252">
        <v>0</v>
      </c>
      <c r="AD252">
        <v>0</v>
      </c>
      <c r="AN252">
        <v>0</v>
      </c>
      <c r="AO252">
        <v>1</v>
      </c>
      <c r="AP252">
        <v>0</v>
      </c>
      <c r="AQ252">
        <v>0</v>
      </c>
      <c r="AR252">
        <v>0</v>
      </c>
      <c r="AT252">
        <v>0.008</v>
      </c>
      <c r="AV252">
        <v>0</v>
      </c>
    </row>
    <row r="253" spans="1:48" ht="12.75">
      <c r="A253">
        <f>ROW(Source!A84)</f>
        <v>84</v>
      </c>
      <c r="B253">
        <v>7704269</v>
      </c>
      <c r="C253">
        <v>7704254</v>
      </c>
      <c r="D253">
        <v>6365695</v>
      </c>
      <c r="E253">
        <v>1</v>
      </c>
      <c r="F253">
        <v>1</v>
      </c>
      <c r="G253">
        <v>1</v>
      </c>
      <c r="H253">
        <v>3</v>
      </c>
      <c r="I253" t="s">
        <v>416</v>
      </c>
      <c r="J253" t="s">
        <v>417</v>
      </c>
      <c r="K253" t="s">
        <v>418</v>
      </c>
      <c r="L253">
        <v>1346</v>
      </c>
      <c r="N253">
        <v>1009</v>
      </c>
      <c r="O253" t="s">
        <v>306</v>
      </c>
      <c r="P253" t="s">
        <v>306</v>
      </c>
      <c r="Q253">
        <v>1</v>
      </c>
      <c r="Y253">
        <v>0.03</v>
      </c>
      <c r="AA253">
        <v>91.29</v>
      </c>
      <c r="AB253">
        <v>0</v>
      </c>
      <c r="AC253">
        <v>0</v>
      </c>
      <c r="AD253">
        <v>0</v>
      </c>
      <c r="AN253">
        <v>0</v>
      </c>
      <c r="AO253">
        <v>1</v>
      </c>
      <c r="AP253">
        <v>0</v>
      </c>
      <c r="AQ253">
        <v>0</v>
      </c>
      <c r="AR253">
        <v>0</v>
      </c>
      <c r="AT253">
        <v>0.03</v>
      </c>
      <c r="AV253">
        <v>0</v>
      </c>
    </row>
    <row r="254" spans="1:48" ht="12.75">
      <c r="A254">
        <f>ROW(Source!A87)</f>
        <v>87</v>
      </c>
      <c r="B254">
        <v>7704280</v>
      </c>
      <c r="C254">
        <v>7704279</v>
      </c>
      <c r="D254">
        <v>5608703</v>
      </c>
      <c r="E254">
        <v>1</v>
      </c>
      <c r="F254">
        <v>1</v>
      </c>
      <c r="G254">
        <v>1</v>
      </c>
      <c r="H254">
        <v>1</v>
      </c>
      <c r="I254" t="s">
        <v>366</v>
      </c>
      <c r="K254" t="s">
        <v>367</v>
      </c>
      <c r="L254">
        <v>1476</v>
      </c>
      <c r="N254">
        <v>1013</v>
      </c>
      <c r="O254" t="s">
        <v>271</v>
      </c>
      <c r="P254" t="s">
        <v>272</v>
      </c>
      <c r="Q254">
        <v>1</v>
      </c>
      <c r="Y254">
        <v>1.13</v>
      </c>
      <c r="AA254">
        <v>0</v>
      </c>
      <c r="AB254">
        <v>0</v>
      </c>
      <c r="AC254">
        <v>0</v>
      </c>
      <c r="AD254">
        <v>9.61</v>
      </c>
      <c r="AN254">
        <v>0</v>
      </c>
      <c r="AO254">
        <v>1</v>
      </c>
      <c r="AP254">
        <v>0</v>
      </c>
      <c r="AQ254">
        <v>0</v>
      </c>
      <c r="AR254">
        <v>0</v>
      </c>
      <c r="AT254">
        <v>1.13</v>
      </c>
      <c r="AV254">
        <v>1</v>
      </c>
    </row>
    <row r="255" spans="1:48" ht="12.75">
      <c r="A255">
        <f>ROW(Source!A87)</f>
        <v>87</v>
      </c>
      <c r="B255">
        <v>7704281</v>
      </c>
      <c r="C255">
        <v>7704279</v>
      </c>
      <c r="D255">
        <v>121548</v>
      </c>
      <c r="E255">
        <v>1</v>
      </c>
      <c r="F255">
        <v>1</v>
      </c>
      <c r="G255">
        <v>1</v>
      </c>
      <c r="H255">
        <v>1</v>
      </c>
      <c r="I255" t="s">
        <v>24</v>
      </c>
      <c r="K255" t="s">
        <v>273</v>
      </c>
      <c r="L255">
        <v>608254</v>
      </c>
      <c r="N255">
        <v>1013</v>
      </c>
      <c r="O255" t="s">
        <v>274</v>
      </c>
      <c r="P255" t="s">
        <v>274</v>
      </c>
      <c r="Q255">
        <v>1</v>
      </c>
      <c r="Y255">
        <v>0.08</v>
      </c>
      <c r="AA255">
        <v>0</v>
      </c>
      <c r="AB255">
        <v>0</v>
      </c>
      <c r="AC255">
        <v>0</v>
      </c>
      <c r="AD255">
        <v>0</v>
      </c>
      <c r="AN255">
        <v>0</v>
      </c>
      <c r="AO255">
        <v>1</v>
      </c>
      <c r="AP255">
        <v>0</v>
      </c>
      <c r="AQ255">
        <v>0</v>
      </c>
      <c r="AR255">
        <v>0</v>
      </c>
      <c r="AT255">
        <v>0.08</v>
      </c>
      <c r="AV255">
        <v>2</v>
      </c>
    </row>
    <row r="256" spans="1:48" ht="12.75">
      <c r="A256">
        <f>ROW(Source!A87)</f>
        <v>87</v>
      </c>
      <c r="B256">
        <v>7704282</v>
      </c>
      <c r="C256">
        <v>7704279</v>
      </c>
      <c r="D256">
        <v>6298444</v>
      </c>
      <c r="E256">
        <v>1</v>
      </c>
      <c r="F256">
        <v>1</v>
      </c>
      <c r="G256">
        <v>1</v>
      </c>
      <c r="H256">
        <v>2</v>
      </c>
      <c r="I256" t="s">
        <v>275</v>
      </c>
      <c r="J256" t="s">
        <v>276</v>
      </c>
      <c r="K256" t="s">
        <v>277</v>
      </c>
      <c r="L256">
        <v>1480</v>
      </c>
      <c r="N256">
        <v>1013</v>
      </c>
      <c r="O256" t="s">
        <v>278</v>
      </c>
      <c r="P256" t="s">
        <v>279</v>
      </c>
      <c r="Q256">
        <v>1</v>
      </c>
      <c r="Y256">
        <v>0.04</v>
      </c>
      <c r="AA256">
        <v>0</v>
      </c>
      <c r="AB256">
        <v>134.99</v>
      </c>
      <c r="AC256">
        <v>11.81</v>
      </c>
      <c r="AD256">
        <v>0</v>
      </c>
      <c r="AN256">
        <v>0</v>
      </c>
      <c r="AO256">
        <v>1</v>
      </c>
      <c r="AP256">
        <v>0</v>
      </c>
      <c r="AQ256">
        <v>0</v>
      </c>
      <c r="AR256">
        <v>0</v>
      </c>
      <c r="AT256">
        <v>0.04</v>
      </c>
      <c r="AV256">
        <v>0</v>
      </c>
    </row>
    <row r="257" spans="1:48" ht="12.75">
      <c r="A257">
        <f>ROW(Source!A87)</f>
        <v>87</v>
      </c>
      <c r="B257">
        <v>7704283</v>
      </c>
      <c r="C257">
        <v>7704279</v>
      </c>
      <c r="D257">
        <v>6300746</v>
      </c>
      <c r="E257">
        <v>1</v>
      </c>
      <c r="F257">
        <v>1</v>
      </c>
      <c r="G257">
        <v>1</v>
      </c>
      <c r="H257">
        <v>2</v>
      </c>
      <c r="I257" t="s">
        <v>374</v>
      </c>
      <c r="J257" t="s">
        <v>375</v>
      </c>
      <c r="K257" t="s">
        <v>376</v>
      </c>
      <c r="L257">
        <v>1368</v>
      </c>
      <c r="N257">
        <v>1011</v>
      </c>
      <c r="O257" t="s">
        <v>283</v>
      </c>
      <c r="P257" t="s">
        <v>283</v>
      </c>
      <c r="Q257">
        <v>1</v>
      </c>
      <c r="Y257">
        <v>0.04</v>
      </c>
      <c r="AA257">
        <v>0</v>
      </c>
      <c r="AB257">
        <v>70.53</v>
      </c>
      <c r="AC257">
        <v>33.66</v>
      </c>
      <c r="AD257">
        <v>0</v>
      </c>
      <c r="AN257">
        <v>0</v>
      </c>
      <c r="AO257">
        <v>1</v>
      </c>
      <c r="AP257">
        <v>0</v>
      </c>
      <c r="AQ257">
        <v>0</v>
      </c>
      <c r="AR257">
        <v>0</v>
      </c>
      <c r="AT257">
        <v>0.04</v>
      </c>
      <c r="AV257">
        <v>0</v>
      </c>
    </row>
    <row r="258" spans="1:48" ht="12.75">
      <c r="A258">
        <f>ROW(Source!A87)</f>
        <v>87</v>
      </c>
      <c r="B258">
        <v>7704287</v>
      </c>
      <c r="C258">
        <v>7704279</v>
      </c>
      <c r="D258">
        <v>0</v>
      </c>
      <c r="E258">
        <v>0</v>
      </c>
      <c r="F258">
        <v>1</v>
      </c>
      <c r="G258">
        <v>1</v>
      </c>
      <c r="H258">
        <v>3</v>
      </c>
      <c r="K258" t="s">
        <v>540</v>
      </c>
      <c r="L258">
        <v>1371</v>
      </c>
      <c r="N258">
        <v>1013</v>
      </c>
      <c r="O258" t="s">
        <v>43</v>
      </c>
      <c r="P258" t="s">
        <v>43</v>
      </c>
      <c r="Q258">
        <v>1</v>
      </c>
      <c r="Y258">
        <v>1</v>
      </c>
      <c r="AA258">
        <v>42.41</v>
      </c>
      <c r="AB258">
        <v>0</v>
      </c>
      <c r="AC258">
        <v>0</v>
      </c>
      <c r="AD258">
        <v>0</v>
      </c>
      <c r="AN258">
        <v>0</v>
      </c>
      <c r="AO258">
        <v>0</v>
      </c>
      <c r="AP258">
        <v>2</v>
      </c>
      <c r="AQ258">
        <v>0</v>
      </c>
      <c r="AR258">
        <v>0</v>
      </c>
      <c r="AT258">
        <v>1</v>
      </c>
      <c r="AV258">
        <v>0</v>
      </c>
    </row>
    <row r="259" spans="1:48" ht="12.75">
      <c r="A259">
        <f>ROW(Source!A87)</f>
        <v>87</v>
      </c>
      <c r="B259">
        <v>7704284</v>
      </c>
      <c r="C259">
        <v>7704279</v>
      </c>
      <c r="D259">
        <v>6332585</v>
      </c>
      <c r="E259">
        <v>1</v>
      </c>
      <c r="F259">
        <v>1</v>
      </c>
      <c r="G259">
        <v>1</v>
      </c>
      <c r="H259">
        <v>3</v>
      </c>
      <c r="I259" t="s">
        <v>460</v>
      </c>
      <c r="J259" t="s">
        <v>461</v>
      </c>
      <c r="K259" t="s">
        <v>462</v>
      </c>
      <c r="L259">
        <v>1346</v>
      </c>
      <c r="N259">
        <v>1009</v>
      </c>
      <c r="O259" t="s">
        <v>306</v>
      </c>
      <c r="P259" t="s">
        <v>306</v>
      </c>
      <c r="Q259">
        <v>1</v>
      </c>
      <c r="Y259">
        <v>0.06</v>
      </c>
      <c r="AA259">
        <v>19.08</v>
      </c>
      <c r="AB259">
        <v>0</v>
      </c>
      <c r="AC259">
        <v>0</v>
      </c>
      <c r="AD259">
        <v>0</v>
      </c>
      <c r="AN259">
        <v>0</v>
      </c>
      <c r="AO259">
        <v>1</v>
      </c>
      <c r="AP259">
        <v>0</v>
      </c>
      <c r="AQ259">
        <v>0</v>
      </c>
      <c r="AR259">
        <v>0</v>
      </c>
      <c r="AT259">
        <v>0.06</v>
      </c>
      <c r="AV259">
        <v>0</v>
      </c>
    </row>
    <row r="260" spans="1:48" ht="12.75">
      <c r="A260">
        <f>ROW(Source!A87)</f>
        <v>87</v>
      </c>
      <c r="B260">
        <v>7704285</v>
      </c>
      <c r="C260">
        <v>7704279</v>
      </c>
      <c r="D260">
        <v>6358182</v>
      </c>
      <c r="E260">
        <v>1</v>
      </c>
      <c r="F260">
        <v>1</v>
      </c>
      <c r="G260">
        <v>1</v>
      </c>
      <c r="H260">
        <v>3</v>
      </c>
      <c r="I260" t="s">
        <v>534</v>
      </c>
      <c r="J260" t="s">
        <v>535</v>
      </c>
      <c r="K260" t="s">
        <v>536</v>
      </c>
      <c r="L260">
        <v>1355</v>
      </c>
      <c r="N260">
        <v>1010</v>
      </c>
      <c r="O260" t="s">
        <v>141</v>
      </c>
      <c r="P260" t="s">
        <v>141</v>
      </c>
      <c r="Q260">
        <v>100</v>
      </c>
      <c r="Y260">
        <v>0.02</v>
      </c>
      <c r="AA260">
        <v>97.5</v>
      </c>
      <c r="AB260">
        <v>0</v>
      </c>
      <c r="AC260">
        <v>0</v>
      </c>
      <c r="AD260">
        <v>0</v>
      </c>
      <c r="AN260">
        <v>0</v>
      </c>
      <c r="AO260">
        <v>1</v>
      </c>
      <c r="AP260">
        <v>0</v>
      </c>
      <c r="AQ260">
        <v>0</v>
      </c>
      <c r="AR260">
        <v>0</v>
      </c>
      <c r="AT260">
        <v>0.02</v>
      </c>
      <c r="AV260">
        <v>0</v>
      </c>
    </row>
    <row r="261" spans="1:48" ht="12.75">
      <c r="A261">
        <f>ROW(Source!A88)</f>
        <v>88</v>
      </c>
      <c r="B261">
        <v>7703448</v>
      </c>
      <c r="C261">
        <v>7703447</v>
      </c>
      <c r="D261">
        <v>5608703</v>
      </c>
      <c r="E261">
        <v>1</v>
      </c>
      <c r="F261">
        <v>1</v>
      </c>
      <c r="G261">
        <v>1</v>
      </c>
      <c r="H261">
        <v>1</v>
      </c>
      <c r="I261" t="s">
        <v>366</v>
      </c>
      <c r="K261" t="s">
        <v>367</v>
      </c>
      <c r="L261">
        <v>1476</v>
      </c>
      <c r="N261">
        <v>1013</v>
      </c>
      <c r="O261" t="s">
        <v>271</v>
      </c>
      <c r="P261" t="s">
        <v>272</v>
      </c>
      <c r="Q261">
        <v>1</v>
      </c>
      <c r="Y261">
        <v>47</v>
      </c>
      <c r="AA261">
        <v>0</v>
      </c>
      <c r="AB261">
        <v>0</v>
      </c>
      <c r="AC261">
        <v>0</v>
      </c>
      <c r="AD261">
        <v>9.61</v>
      </c>
      <c r="AN261">
        <v>0</v>
      </c>
      <c r="AO261">
        <v>1</v>
      </c>
      <c r="AP261">
        <v>0</v>
      </c>
      <c r="AQ261">
        <v>0</v>
      </c>
      <c r="AR261">
        <v>0</v>
      </c>
      <c r="AT261">
        <v>47</v>
      </c>
      <c r="AV261">
        <v>1</v>
      </c>
    </row>
    <row r="262" spans="1:48" ht="12.75">
      <c r="A262">
        <f>ROW(Source!A88)</f>
        <v>88</v>
      </c>
      <c r="B262">
        <v>7703449</v>
      </c>
      <c r="C262">
        <v>7703447</v>
      </c>
      <c r="D262">
        <v>121548</v>
      </c>
      <c r="E262">
        <v>1</v>
      </c>
      <c r="F262">
        <v>1</v>
      </c>
      <c r="G262">
        <v>1</v>
      </c>
      <c r="H262">
        <v>1</v>
      </c>
      <c r="I262" t="s">
        <v>24</v>
      </c>
      <c r="K262" t="s">
        <v>273</v>
      </c>
      <c r="L262">
        <v>608254</v>
      </c>
      <c r="N262">
        <v>1013</v>
      </c>
      <c r="O262" t="s">
        <v>274</v>
      </c>
      <c r="P262" t="s">
        <v>274</v>
      </c>
      <c r="Q262">
        <v>1</v>
      </c>
      <c r="Y262">
        <v>0.22</v>
      </c>
      <c r="AA262">
        <v>0</v>
      </c>
      <c r="AB262">
        <v>0</v>
      </c>
      <c r="AC262">
        <v>0</v>
      </c>
      <c r="AD262">
        <v>0</v>
      </c>
      <c r="AN262">
        <v>0</v>
      </c>
      <c r="AO262">
        <v>1</v>
      </c>
      <c r="AP262">
        <v>0</v>
      </c>
      <c r="AQ262">
        <v>0</v>
      </c>
      <c r="AR262">
        <v>0</v>
      </c>
      <c r="AT262">
        <v>0.22</v>
      </c>
      <c r="AV262">
        <v>2</v>
      </c>
    </row>
    <row r="263" spans="1:48" ht="12.75">
      <c r="A263">
        <f>ROW(Source!A88)</f>
        <v>88</v>
      </c>
      <c r="B263">
        <v>7703450</v>
      </c>
      <c r="C263">
        <v>7703447</v>
      </c>
      <c r="D263">
        <v>6298444</v>
      </c>
      <c r="E263">
        <v>1</v>
      </c>
      <c r="F263">
        <v>1</v>
      </c>
      <c r="G263">
        <v>1</v>
      </c>
      <c r="H263">
        <v>2</v>
      </c>
      <c r="I263" t="s">
        <v>275</v>
      </c>
      <c r="J263" t="s">
        <v>276</v>
      </c>
      <c r="K263" t="s">
        <v>277</v>
      </c>
      <c r="L263">
        <v>1480</v>
      </c>
      <c r="N263">
        <v>1013</v>
      </c>
      <c r="O263" t="s">
        <v>278</v>
      </c>
      <c r="P263" t="s">
        <v>279</v>
      </c>
      <c r="Q263">
        <v>1</v>
      </c>
      <c r="Y263">
        <v>0.11</v>
      </c>
      <c r="AA263">
        <v>0</v>
      </c>
      <c r="AB263">
        <v>134.99</v>
      </c>
      <c r="AC263">
        <v>11.81</v>
      </c>
      <c r="AD263">
        <v>0</v>
      </c>
      <c r="AN263">
        <v>0</v>
      </c>
      <c r="AO263">
        <v>1</v>
      </c>
      <c r="AP263">
        <v>0</v>
      </c>
      <c r="AQ263">
        <v>0</v>
      </c>
      <c r="AR263">
        <v>0</v>
      </c>
      <c r="AT263">
        <v>0.11</v>
      </c>
      <c r="AV263">
        <v>0</v>
      </c>
    </row>
    <row r="264" spans="1:48" ht="12.75">
      <c r="A264">
        <f>ROW(Source!A88)</f>
        <v>88</v>
      </c>
      <c r="B264">
        <v>7703451</v>
      </c>
      <c r="C264">
        <v>7703447</v>
      </c>
      <c r="D264">
        <v>6298559</v>
      </c>
      <c r="E264">
        <v>1</v>
      </c>
      <c r="F264">
        <v>1</v>
      </c>
      <c r="G264">
        <v>1</v>
      </c>
      <c r="H264">
        <v>2</v>
      </c>
      <c r="I264" t="s">
        <v>280</v>
      </c>
      <c r="J264" t="s">
        <v>281</v>
      </c>
      <c r="K264" t="s">
        <v>282</v>
      </c>
      <c r="L264">
        <v>1368</v>
      </c>
      <c r="N264">
        <v>1011</v>
      </c>
      <c r="O264" t="s">
        <v>283</v>
      </c>
      <c r="P264" t="s">
        <v>283</v>
      </c>
      <c r="Q264">
        <v>1</v>
      </c>
      <c r="Y264">
        <v>0.19</v>
      </c>
      <c r="AA264">
        <v>0</v>
      </c>
      <c r="AB264">
        <v>2.94</v>
      </c>
      <c r="AC264">
        <v>0</v>
      </c>
      <c r="AD264">
        <v>0</v>
      </c>
      <c r="AN264">
        <v>0</v>
      </c>
      <c r="AO264">
        <v>1</v>
      </c>
      <c r="AP264">
        <v>0</v>
      </c>
      <c r="AQ264">
        <v>0</v>
      </c>
      <c r="AR264">
        <v>0</v>
      </c>
      <c r="AT264">
        <v>0.19</v>
      </c>
      <c r="AV264">
        <v>0</v>
      </c>
    </row>
    <row r="265" spans="1:48" ht="12.75">
      <c r="A265">
        <f>ROW(Source!A88)</f>
        <v>88</v>
      </c>
      <c r="B265">
        <v>7703452</v>
      </c>
      <c r="C265">
        <v>7703447</v>
      </c>
      <c r="D265">
        <v>6300746</v>
      </c>
      <c r="E265">
        <v>1</v>
      </c>
      <c r="F265">
        <v>1</v>
      </c>
      <c r="G265">
        <v>1</v>
      </c>
      <c r="H265">
        <v>2</v>
      </c>
      <c r="I265" t="s">
        <v>374</v>
      </c>
      <c r="J265" t="s">
        <v>375</v>
      </c>
      <c r="K265" t="s">
        <v>376</v>
      </c>
      <c r="L265">
        <v>1368</v>
      </c>
      <c r="N265">
        <v>1011</v>
      </c>
      <c r="O265" t="s">
        <v>283</v>
      </c>
      <c r="P265" t="s">
        <v>283</v>
      </c>
      <c r="Q265">
        <v>1</v>
      </c>
      <c r="Y265">
        <v>0.11</v>
      </c>
      <c r="AA265">
        <v>0</v>
      </c>
      <c r="AB265">
        <v>70.53</v>
      </c>
      <c r="AC265">
        <v>33.66</v>
      </c>
      <c r="AD265">
        <v>0</v>
      </c>
      <c r="AN265">
        <v>0</v>
      </c>
      <c r="AO265">
        <v>1</v>
      </c>
      <c r="AP265">
        <v>0</v>
      </c>
      <c r="AQ265">
        <v>0</v>
      </c>
      <c r="AR265">
        <v>0</v>
      </c>
      <c r="AT265">
        <v>0.11</v>
      </c>
      <c r="AV265">
        <v>0</v>
      </c>
    </row>
    <row r="266" spans="1:48" ht="12.75">
      <c r="A266">
        <f>ROW(Source!A88)</f>
        <v>88</v>
      </c>
      <c r="B266">
        <v>7703453</v>
      </c>
      <c r="C266">
        <v>7703447</v>
      </c>
      <c r="D266">
        <v>6332265</v>
      </c>
      <c r="E266">
        <v>1</v>
      </c>
      <c r="F266">
        <v>1</v>
      </c>
      <c r="G266">
        <v>1</v>
      </c>
      <c r="H266">
        <v>3</v>
      </c>
      <c r="I266" t="s">
        <v>487</v>
      </c>
      <c r="J266" t="s">
        <v>488</v>
      </c>
      <c r="K266" t="s">
        <v>489</v>
      </c>
      <c r="L266">
        <v>1348</v>
      </c>
      <c r="N266">
        <v>1009</v>
      </c>
      <c r="O266" t="s">
        <v>293</v>
      </c>
      <c r="P266" t="s">
        <v>293</v>
      </c>
      <c r="Q266">
        <v>1000</v>
      </c>
      <c r="Y266">
        <v>0.003</v>
      </c>
      <c r="AA266">
        <v>4527.79</v>
      </c>
      <c r="AB266">
        <v>0</v>
      </c>
      <c r="AC266">
        <v>0</v>
      </c>
      <c r="AD266">
        <v>0</v>
      </c>
      <c r="AN266">
        <v>0</v>
      </c>
      <c r="AO266">
        <v>1</v>
      </c>
      <c r="AP266">
        <v>0</v>
      </c>
      <c r="AQ266">
        <v>0</v>
      </c>
      <c r="AR266">
        <v>0</v>
      </c>
      <c r="AT266">
        <v>0.003</v>
      </c>
      <c r="AV266">
        <v>0</v>
      </c>
    </row>
    <row r="267" spans="1:48" ht="12.75">
      <c r="A267">
        <f>ROW(Source!A88)</f>
        <v>88</v>
      </c>
      <c r="B267">
        <v>7703454</v>
      </c>
      <c r="C267">
        <v>7703447</v>
      </c>
      <c r="D267">
        <v>6333904</v>
      </c>
      <c r="E267">
        <v>1</v>
      </c>
      <c r="F267">
        <v>1</v>
      </c>
      <c r="G267">
        <v>1</v>
      </c>
      <c r="H267">
        <v>3</v>
      </c>
      <c r="I267" t="s">
        <v>407</v>
      </c>
      <c r="J267" t="s">
        <v>408</v>
      </c>
      <c r="K267" t="s">
        <v>409</v>
      </c>
      <c r="L267">
        <v>1346</v>
      </c>
      <c r="N267">
        <v>1009</v>
      </c>
      <c r="O267" t="s">
        <v>306</v>
      </c>
      <c r="P267" t="s">
        <v>306</v>
      </c>
      <c r="Q267">
        <v>1</v>
      </c>
      <c r="Y267">
        <v>0.8</v>
      </c>
      <c r="AA267">
        <v>12.6</v>
      </c>
      <c r="AB267">
        <v>0</v>
      </c>
      <c r="AC267">
        <v>0</v>
      </c>
      <c r="AD267">
        <v>0</v>
      </c>
      <c r="AN267">
        <v>0</v>
      </c>
      <c r="AO267">
        <v>1</v>
      </c>
      <c r="AP267">
        <v>0</v>
      </c>
      <c r="AQ267">
        <v>0</v>
      </c>
      <c r="AR267">
        <v>0</v>
      </c>
      <c r="AT267">
        <v>0.8</v>
      </c>
      <c r="AV267">
        <v>0</v>
      </c>
    </row>
    <row r="268" spans="1:48" ht="12.75">
      <c r="A268">
        <f>ROW(Source!A88)</f>
        <v>88</v>
      </c>
      <c r="B268">
        <v>7703455</v>
      </c>
      <c r="C268">
        <v>7703447</v>
      </c>
      <c r="D268">
        <v>6358004</v>
      </c>
      <c r="E268">
        <v>1</v>
      </c>
      <c r="F268">
        <v>1</v>
      </c>
      <c r="G268">
        <v>1</v>
      </c>
      <c r="H268">
        <v>3</v>
      </c>
      <c r="I268" t="s">
        <v>541</v>
      </c>
      <c r="J268" t="s">
        <v>542</v>
      </c>
      <c r="K268" t="s">
        <v>543</v>
      </c>
      <c r="L268">
        <v>1354</v>
      </c>
      <c r="N268">
        <v>1010</v>
      </c>
      <c r="O268" t="s">
        <v>20</v>
      </c>
      <c r="P268" t="s">
        <v>20</v>
      </c>
      <c r="Q268">
        <v>1</v>
      </c>
      <c r="Y268">
        <v>102</v>
      </c>
      <c r="AA268">
        <v>0</v>
      </c>
      <c r="AB268">
        <v>0</v>
      </c>
      <c r="AC268">
        <v>0</v>
      </c>
      <c r="AD268">
        <v>0</v>
      </c>
      <c r="AN268">
        <v>0</v>
      </c>
      <c r="AO268">
        <v>1</v>
      </c>
      <c r="AP268">
        <v>0</v>
      </c>
      <c r="AQ268">
        <v>0</v>
      </c>
      <c r="AR268">
        <v>0</v>
      </c>
      <c r="AT268">
        <v>102</v>
      </c>
      <c r="AV268">
        <v>0</v>
      </c>
    </row>
    <row r="269" spans="1:48" ht="12.75">
      <c r="A269">
        <f>ROW(Source!A88)</f>
        <v>88</v>
      </c>
      <c r="B269">
        <v>7703456</v>
      </c>
      <c r="C269">
        <v>7703447</v>
      </c>
      <c r="D269">
        <v>6358182</v>
      </c>
      <c r="E269">
        <v>1</v>
      </c>
      <c r="F269">
        <v>1</v>
      </c>
      <c r="G269">
        <v>1</v>
      </c>
      <c r="H269">
        <v>3</v>
      </c>
      <c r="I269" t="s">
        <v>534</v>
      </c>
      <c r="J269" t="s">
        <v>535</v>
      </c>
      <c r="K269" t="s">
        <v>536</v>
      </c>
      <c r="L269">
        <v>1355</v>
      </c>
      <c r="N269">
        <v>1010</v>
      </c>
      <c r="O269" t="s">
        <v>141</v>
      </c>
      <c r="P269" t="s">
        <v>141</v>
      </c>
      <c r="Q269">
        <v>100</v>
      </c>
      <c r="Y269">
        <v>2.04</v>
      </c>
      <c r="AA269">
        <v>97.5</v>
      </c>
      <c r="AB269">
        <v>0</v>
      </c>
      <c r="AC269">
        <v>0</v>
      </c>
      <c r="AD269">
        <v>0</v>
      </c>
      <c r="AN269">
        <v>0</v>
      </c>
      <c r="AO269">
        <v>1</v>
      </c>
      <c r="AP269">
        <v>0</v>
      </c>
      <c r="AQ269">
        <v>0</v>
      </c>
      <c r="AR269">
        <v>0</v>
      </c>
      <c r="AT269">
        <v>2.04</v>
      </c>
      <c r="AV269">
        <v>0</v>
      </c>
    </row>
    <row r="270" spans="1:48" ht="12.75">
      <c r="A270">
        <f>ROW(Source!A108)</f>
        <v>108</v>
      </c>
      <c r="B270">
        <v>7700800</v>
      </c>
      <c r="C270">
        <v>7700797</v>
      </c>
      <c r="D270">
        <v>5603250</v>
      </c>
      <c r="E270">
        <v>1</v>
      </c>
      <c r="F270">
        <v>1</v>
      </c>
      <c r="G270">
        <v>1</v>
      </c>
      <c r="H270">
        <v>1</v>
      </c>
      <c r="I270" t="s">
        <v>399</v>
      </c>
      <c r="K270" t="s">
        <v>400</v>
      </c>
      <c r="L270">
        <v>1476</v>
      </c>
      <c r="N270">
        <v>1013</v>
      </c>
      <c r="O270" t="s">
        <v>271</v>
      </c>
      <c r="P270" t="s">
        <v>272</v>
      </c>
      <c r="Q270">
        <v>1</v>
      </c>
      <c r="Y270">
        <v>38.3</v>
      </c>
      <c r="AA270">
        <v>0</v>
      </c>
      <c r="AB270">
        <v>0</v>
      </c>
      <c r="AC270">
        <v>0</v>
      </c>
      <c r="AD270">
        <v>9.39</v>
      </c>
      <c r="AN270">
        <v>0</v>
      </c>
      <c r="AO270">
        <v>1</v>
      </c>
      <c r="AP270">
        <v>0</v>
      </c>
      <c r="AQ270">
        <v>0</v>
      </c>
      <c r="AR270">
        <v>0</v>
      </c>
      <c r="AT270">
        <v>38.3</v>
      </c>
      <c r="AV270">
        <v>1</v>
      </c>
    </row>
    <row r="271" spans="1:48" ht="12.75">
      <c r="A271">
        <f>ROW(Source!A108)</f>
        <v>108</v>
      </c>
      <c r="B271">
        <v>7700801</v>
      </c>
      <c r="C271">
        <v>7700797</v>
      </c>
      <c r="D271">
        <v>121548</v>
      </c>
      <c r="E271">
        <v>1</v>
      </c>
      <c r="F271">
        <v>1</v>
      </c>
      <c r="G271">
        <v>1</v>
      </c>
      <c r="H271">
        <v>1</v>
      </c>
      <c r="I271" t="s">
        <v>24</v>
      </c>
      <c r="K271" t="s">
        <v>273</v>
      </c>
      <c r="L271">
        <v>608254</v>
      </c>
      <c r="N271">
        <v>1013</v>
      </c>
      <c r="O271" t="s">
        <v>274</v>
      </c>
      <c r="P271" t="s">
        <v>274</v>
      </c>
      <c r="Q271">
        <v>1</v>
      </c>
      <c r="Y271">
        <v>0.5</v>
      </c>
      <c r="AA271">
        <v>0</v>
      </c>
      <c r="AB271">
        <v>0</v>
      </c>
      <c r="AC271">
        <v>0</v>
      </c>
      <c r="AD271">
        <v>0</v>
      </c>
      <c r="AN271">
        <v>0</v>
      </c>
      <c r="AO271">
        <v>1</v>
      </c>
      <c r="AP271">
        <v>0</v>
      </c>
      <c r="AQ271">
        <v>0</v>
      </c>
      <c r="AR271">
        <v>0</v>
      </c>
      <c r="AT271">
        <v>0.5</v>
      </c>
      <c r="AV271">
        <v>2</v>
      </c>
    </row>
    <row r="272" spans="1:48" ht="12.75">
      <c r="A272">
        <f>ROW(Source!A108)</f>
        <v>108</v>
      </c>
      <c r="B272">
        <v>7700802</v>
      </c>
      <c r="C272">
        <v>7700797</v>
      </c>
      <c r="D272">
        <v>6298444</v>
      </c>
      <c r="E272">
        <v>1</v>
      </c>
      <c r="F272">
        <v>1</v>
      </c>
      <c r="G272">
        <v>1</v>
      </c>
      <c r="H272">
        <v>2</v>
      </c>
      <c r="I272" t="s">
        <v>275</v>
      </c>
      <c r="J272" t="s">
        <v>276</v>
      </c>
      <c r="K272" t="s">
        <v>277</v>
      </c>
      <c r="L272">
        <v>1480</v>
      </c>
      <c r="N272">
        <v>1013</v>
      </c>
      <c r="O272" t="s">
        <v>278</v>
      </c>
      <c r="P272" t="s">
        <v>279</v>
      </c>
      <c r="Q272">
        <v>1</v>
      </c>
      <c r="Y272">
        <v>0.25</v>
      </c>
      <c r="AA272">
        <v>0</v>
      </c>
      <c r="AB272">
        <v>134.99</v>
      </c>
      <c r="AC272">
        <v>11.81</v>
      </c>
      <c r="AD272">
        <v>0</v>
      </c>
      <c r="AN272">
        <v>0</v>
      </c>
      <c r="AO272">
        <v>1</v>
      </c>
      <c r="AP272">
        <v>0</v>
      </c>
      <c r="AQ272">
        <v>0</v>
      </c>
      <c r="AR272">
        <v>0</v>
      </c>
      <c r="AT272">
        <v>0.25</v>
      </c>
      <c r="AV272">
        <v>0</v>
      </c>
    </row>
    <row r="273" spans="1:48" ht="12.75">
      <c r="A273">
        <f>ROW(Source!A108)</f>
        <v>108</v>
      </c>
      <c r="B273">
        <v>7700803</v>
      </c>
      <c r="C273">
        <v>7700797</v>
      </c>
      <c r="D273">
        <v>6298559</v>
      </c>
      <c r="E273">
        <v>1</v>
      </c>
      <c r="F273">
        <v>1</v>
      </c>
      <c r="G273">
        <v>1</v>
      </c>
      <c r="H273">
        <v>2</v>
      </c>
      <c r="I273" t="s">
        <v>280</v>
      </c>
      <c r="J273" t="s">
        <v>281</v>
      </c>
      <c r="K273" t="s">
        <v>282</v>
      </c>
      <c r="L273">
        <v>1368</v>
      </c>
      <c r="N273">
        <v>1011</v>
      </c>
      <c r="O273" t="s">
        <v>283</v>
      </c>
      <c r="P273" t="s">
        <v>283</v>
      </c>
      <c r="Q273">
        <v>1</v>
      </c>
      <c r="Y273">
        <v>6.18</v>
      </c>
      <c r="AA273">
        <v>0</v>
      </c>
      <c r="AB273">
        <v>2.94</v>
      </c>
      <c r="AC273">
        <v>0</v>
      </c>
      <c r="AD273">
        <v>0</v>
      </c>
      <c r="AN273">
        <v>0</v>
      </c>
      <c r="AO273">
        <v>1</v>
      </c>
      <c r="AP273">
        <v>0</v>
      </c>
      <c r="AQ273">
        <v>0</v>
      </c>
      <c r="AR273">
        <v>0</v>
      </c>
      <c r="AT273">
        <v>6.18</v>
      </c>
      <c r="AV273">
        <v>0</v>
      </c>
    </row>
    <row r="274" spans="1:48" ht="12.75">
      <c r="A274">
        <f>ROW(Source!A108)</f>
        <v>108</v>
      </c>
      <c r="B274">
        <v>7700804</v>
      </c>
      <c r="C274">
        <v>7700797</v>
      </c>
      <c r="D274">
        <v>6300327</v>
      </c>
      <c r="E274">
        <v>1</v>
      </c>
      <c r="F274">
        <v>1</v>
      </c>
      <c r="G274">
        <v>1</v>
      </c>
      <c r="H274">
        <v>2</v>
      </c>
      <c r="I274" t="s">
        <v>419</v>
      </c>
      <c r="J274" t="s">
        <v>322</v>
      </c>
      <c r="K274" t="s">
        <v>420</v>
      </c>
      <c r="L274">
        <v>1368</v>
      </c>
      <c r="N274">
        <v>1011</v>
      </c>
      <c r="O274" t="s">
        <v>283</v>
      </c>
      <c r="P274" t="s">
        <v>283</v>
      </c>
      <c r="Q274">
        <v>1</v>
      </c>
      <c r="Y274">
        <v>6.11</v>
      </c>
      <c r="AA274">
        <v>0</v>
      </c>
      <c r="AB274">
        <v>2.95</v>
      </c>
      <c r="AC274">
        <v>0</v>
      </c>
      <c r="AD274">
        <v>0</v>
      </c>
      <c r="AN274">
        <v>0</v>
      </c>
      <c r="AO274">
        <v>1</v>
      </c>
      <c r="AP274">
        <v>0</v>
      </c>
      <c r="AQ274">
        <v>0</v>
      </c>
      <c r="AR274">
        <v>0</v>
      </c>
      <c r="AT274">
        <v>6.11</v>
      </c>
      <c r="AV274">
        <v>0</v>
      </c>
    </row>
    <row r="275" spans="1:48" ht="12.75">
      <c r="A275">
        <f>ROW(Source!A108)</f>
        <v>108</v>
      </c>
      <c r="B275">
        <v>7700805</v>
      </c>
      <c r="C275">
        <v>7700797</v>
      </c>
      <c r="D275">
        <v>6300746</v>
      </c>
      <c r="E275">
        <v>1</v>
      </c>
      <c r="F275">
        <v>1</v>
      </c>
      <c r="G275">
        <v>1</v>
      </c>
      <c r="H275">
        <v>2</v>
      </c>
      <c r="I275" t="s">
        <v>374</v>
      </c>
      <c r="J275" t="s">
        <v>375</v>
      </c>
      <c r="K275" t="s">
        <v>376</v>
      </c>
      <c r="L275">
        <v>1368</v>
      </c>
      <c r="N275">
        <v>1011</v>
      </c>
      <c r="O275" t="s">
        <v>283</v>
      </c>
      <c r="P275" t="s">
        <v>283</v>
      </c>
      <c r="Q275">
        <v>1</v>
      </c>
      <c r="Y275">
        <v>0.25</v>
      </c>
      <c r="AA275">
        <v>0</v>
      </c>
      <c r="AB275">
        <v>70.53</v>
      </c>
      <c r="AC275">
        <v>33.66</v>
      </c>
      <c r="AD275">
        <v>0</v>
      </c>
      <c r="AN275">
        <v>0</v>
      </c>
      <c r="AO275">
        <v>1</v>
      </c>
      <c r="AP275">
        <v>0</v>
      </c>
      <c r="AQ275">
        <v>0</v>
      </c>
      <c r="AR275">
        <v>0</v>
      </c>
      <c r="AT275">
        <v>0.25</v>
      </c>
      <c r="AV275">
        <v>0</v>
      </c>
    </row>
    <row r="276" spans="1:48" ht="12.75">
      <c r="A276">
        <f>ROW(Source!A108)</f>
        <v>108</v>
      </c>
      <c r="B276">
        <v>7700815</v>
      </c>
      <c r="C276">
        <v>7700797</v>
      </c>
      <c r="D276">
        <v>0</v>
      </c>
      <c r="E276">
        <v>0</v>
      </c>
      <c r="F276">
        <v>1</v>
      </c>
      <c r="G276">
        <v>1</v>
      </c>
      <c r="H276">
        <v>3</v>
      </c>
      <c r="K276" t="s">
        <v>198</v>
      </c>
      <c r="L276">
        <v>1378</v>
      </c>
      <c r="N276">
        <v>1013</v>
      </c>
      <c r="O276" t="s">
        <v>36</v>
      </c>
      <c r="P276" t="s">
        <v>36</v>
      </c>
      <c r="Q276">
        <v>1</v>
      </c>
      <c r="Y276">
        <v>16</v>
      </c>
      <c r="AA276">
        <v>473.3</v>
      </c>
      <c r="AB276">
        <v>0</v>
      </c>
      <c r="AC276">
        <v>0</v>
      </c>
      <c r="AD276">
        <v>0</v>
      </c>
      <c r="AN276">
        <v>0</v>
      </c>
      <c r="AO276">
        <v>0</v>
      </c>
      <c r="AP276">
        <v>2</v>
      </c>
      <c r="AQ276">
        <v>0</v>
      </c>
      <c r="AR276">
        <v>0</v>
      </c>
      <c r="AT276">
        <v>16</v>
      </c>
      <c r="AV276">
        <v>0</v>
      </c>
    </row>
    <row r="277" spans="1:48" ht="12.75">
      <c r="A277">
        <f>ROW(Source!A108)</f>
        <v>108</v>
      </c>
      <c r="B277">
        <v>7700806</v>
      </c>
      <c r="C277">
        <v>7700797</v>
      </c>
      <c r="D277">
        <v>6330651</v>
      </c>
      <c r="E277">
        <v>1</v>
      </c>
      <c r="F277">
        <v>1</v>
      </c>
      <c r="G277">
        <v>1</v>
      </c>
      <c r="H277">
        <v>3</v>
      </c>
      <c r="I277" t="s">
        <v>421</v>
      </c>
      <c r="J277" t="s">
        <v>422</v>
      </c>
      <c r="K277" t="s">
        <v>423</v>
      </c>
      <c r="L277">
        <v>1348</v>
      </c>
      <c r="N277">
        <v>1009</v>
      </c>
      <c r="O277" t="s">
        <v>293</v>
      </c>
      <c r="P277" t="s">
        <v>293</v>
      </c>
      <c r="Q277">
        <v>1000</v>
      </c>
      <c r="Y277">
        <v>0.00058</v>
      </c>
      <c r="AA277">
        <v>17546.81</v>
      </c>
      <c r="AB277">
        <v>0</v>
      </c>
      <c r="AC277">
        <v>0</v>
      </c>
      <c r="AD277">
        <v>0</v>
      </c>
      <c r="AN277">
        <v>0</v>
      </c>
      <c r="AO277">
        <v>1</v>
      </c>
      <c r="AP277">
        <v>0</v>
      </c>
      <c r="AQ277">
        <v>0</v>
      </c>
      <c r="AR277">
        <v>0</v>
      </c>
      <c r="AT277">
        <v>0.00058</v>
      </c>
      <c r="AV277">
        <v>0</v>
      </c>
    </row>
    <row r="278" spans="1:48" ht="12.75">
      <c r="A278">
        <f>ROW(Source!A108)</f>
        <v>108</v>
      </c>
      <c r="B278">
        <v>7700807</v>
      </c>
      <c r="C278">
        <v>7700797</v>
      </c>
      <c r="D278">
        <v>6332387</v>
      </c>
      <c r="E278">
        <v>1</v>
      </c>
      <c r="F278">
        <v>1</v>
      </c>
      <c r="G278">
        <v>1</v>
      </c>
      <c r="H278">
        <v>3</v>
      </c>
      <c r="I278" t="s">
        <v>404</v>
      </c>
      <c r="J278" t="s">
        <v>405</v>
      </c>
      <c r="K278" t="s">
        <v>406</v>
      </c>
      <c r="L278">
        <v>1346</v>
      </c>
      <c r="N278">
        <v>1009</v>
      </c>
      <c r="O278" t="s">
        <v>306</v>
      </c>
      <c r="P278" t="s">
        <v>306</v>
      </c>
      <c r="Q278">
        <v>1</v>
      </c>
      <c r="Y278">
        <v>3</v>
      </c>
      <c r="AA278">
        <v>9.45</v>
      </c>
      <c r="AB278">
        <v>0</v>
      </c>
      <c r="AC278">
        <v>0</v>
      </c>
      <c r="AD278">
        <v>0</v>
      </c>
      <c r="AN278">
        <v>0</v>
      </c>
      <c r="AO278">
        <v>1</v>
      </c>
      <c r="AP278">
        <v>0</v>
      </c>
      <c r="AQ278">
        <v>0</v>
      </c>
      <c r="AR278">
        <v>0</v>
      </c>
      <c r="AT278">
        <v>3</v>
      </c>
      <c r="AV278">
        <v>0</v>
      </c>
    </row>
    <row r="279" spans="1:48" ht="12.75">
      <c r="A279">
        <f>ROW(Source!A108)</f>
        <v>108</v>
      </c>
      <c r="B279">
        <v>7700808</v>
      </c>
      <c r="C279">
        <v>7700797</v>
      </c>
      <c r="D279">
        <v>6333904</v>
      </c>
      <c r="E279">
        <v>1</v>
      </c>
      <c r="F279">
        <v>1</v>
      </c>
      <c r="G279">
        <v>1</v>
      </c>
      <c r="H279">
        <v>3</v>
      </c>
      <c r="I279" t="s">
        <v>407</v>
      </c>
      <c r="J279" t="s">
        <v>408</v>
      </c>
      <c r="K279" t="s">
        <v>409</v>
      </c>
      <c r="L279">
        <v>1346</v>
      </c>
      <c r="N279">
        <v>1009</v>
      </c>
      <c r="O279" t="s">
        <v>306</v>
      </c>
      <c r="P279" t="s">
        <v>306</v>
      </c>
      <c r="Q279">
        <v>1</v>
      </c>
      <c r="Y279">
        <v>0.1</v>
      </c>
      <c r="AA279">
        <v>12.6</v>
      </c>
      <c r="AB279">
        <v>0</v>
      </c>
      <c r="AC279">
        <v>0</v>
      </c>
      <c r="AD279">
        <v>0</v>
      </c>
      <c r="AN279">
        <v>0</v>
      </c>
      <c r="AO279">
        <v>1</v>
      </c>
      <c r="AP279">
        <v>0</v>
      </c>
      <c r="AQ279">
        <v>0</v>
      </c>
      <c r="AR279">
        <v>0</v>
      </c>
      <c r="AT279">
        <v>0.1</v>
      </c>
      <c r="AV279">
        <v>0</v>
      </c>
    </row>
    <row r="280" spans="1:48" ht="12.75">
      <c r="A280">
        <f>ROW(Source!A108)</f>
        <v>108</v>
      </c>
      <c r="B280">
        <v>7700809</v>
      </c>
      <c r="C280">
        <v>7700797</v>
      </c>
      <c r="D280">
        <v>6357975</v>
      </c>
      <c r="E280">
        <v>1</v>
      </c>
      <c r="F280">
        <v>1</v>
      </c>
      <c r="G280">
        <v>1</v>
      </c>
      <c r="H280">
        <v>3</v>
      </c>
      <c r="I280" t="s">
        <v>424</v>
      </c>
      <c r="J280" t="s">
        <v>425</v>
      </c>
      <c r="K280" t="s">
        <v>426</v>
      </c>
      <c r="L280">
        <v>1346</v>
      </c>
      <c r="N280">
        <v>1009</v>
      </c>
      <c r="O280" t="s">
        <v>306</v>
      </c>
      <c r="P280" t="s">
        <v>306</v>
      </c>
      <c r="Q280">
        <v>1</v>
      </c>
      <c r="Y280">
        <v>0.55</v>
      </c>
      <c r="AA280">
        <v>0</v>
      </c>
      <c r="AB280">
        <v>0</v>
      </c>
      <c r="AC280">
        <v>0</v>
      </c>
      <c r="AD280">
        <v>0</v>
      </c>
      <c r="AN280">
        <v>0</v>
      </c>
      <c r="AO280">
        <v>1</v>
      </c>
      <c r="AP280">
        <v>0</v>
      </c>
      <c r="AQ280">
        <v>0</v>
      </c>
      <c r="AR280">
        <v>0</v>
      </c>
      <c r="AT280">
        <v>0.55</v>
      </c>
      <c r="AV280">
        <v>0</v>
      </c>
    </row>
    <row r="281" spans="1:48" ht="12.75">
      <c r="A281">
        <f>ROW(Source!A108)</f>
        <v>108</v>
      </c>
      <c r="B281">
        <v>7700810</v>
      </c>
      <c r="C281">
        <v>7700797</v>
      </c>
      <c r="D281">
        <v>6358082</v>
      </c>
      <c r="E281">
        <v>1</v>
      </c>
      <c r="F281">
        <v>1</v>
      </c>
      <c r="G281">
        <v>1</v>
      </c>
      <c r="H281">
        <v>3</v>
      </c>
      <c r="I281" t="s">
        <v>427</v>
      </c>
      <c r="J281" t="s">
        <v>428</v>
      </c>
      <c r="K281" t="s">
        <v>429</v>
      </c>
      <c r="L281">
        <v>1354</v>
      </c>
      <c r="N281">
        <v>1010</v>
      </c>
      <c r="O281" t="s">
        <v>20</v>
      </c>
      <c r="P281" t="s">
        <v>20</v>
      </c>
      <c r="Q281">
        <v>1</v>
      </c>
      <c r="Y281">
        <v>220</v>
      </c>
      <c r="AA281">
        <v>0</v>
      </c>
      <c r="AB281">
        <v>0</v>
      </c>
      <c r="AC281">
        <v>0</v>
      </c>
      <c r="AD281">
        <v>0</v>
      </c>
      <c r="AN281">
        <v>0</v>
      </c>
      <c r="AO281">
        <v>1</v>
      </c>
      <c r="AP281">
        <v>0</v>
      </c>
      <c r="AQ281">
        <v>0</v>
      </c>
      <c r="AR281">
        <v>0</v>
      </c>
      <c r="AT281">
        <v>220</v>
      </c>
      <c r="AV281">
        <v>0</v>
      </c>
    </row>
    <row r="282" spans="1:48" ht="12.75">
      <c r="A282">
        <f>ROW(Source!A108)</f>
        <v>108</v>
      </c>
      <c r="B282">
        <v>7700811</v>
      </c>
      <c r="C282">
        <v>7700797</v>
      </c>
      <c r="D282">
        <v>6358087</v>
      </c>
      <c r="E282">
        <v>1</v>
      </c>
      <c r="F282">
        <v>1</v>
      </c>
      <c r="G282">
        <v>1</v>
      </c>
      <c r="H282">
        <v>3</v>
      </c>
      <c r="I282" t="s">
        <v>390</v>
      </c>
      <c r="J282" t="s">
        <v>391</v>
      </c>
      <c r="K282" t="s">
        <v>392</v>
      </c>
      <c r="L282">
        <v>1355</v>
      </c>
      <c r="N282">
        <v>1010</v>
      </c>
      <c r="O282" t="s">
        <v>141</v>
      </c>
      <c r="P282" t="s">
        <v>141</v>
      </c>
      <c r="Q282">
        <v>100</v>
      </c>
      <c r="Y282">
        <v>0.1</v>
      </c>
      <c r="AA282">
        <v>142.5</v>
      </c>
      <c r="AB282">
        <v>0</v>
      </c>
      <c r="AC282">
        <v>0</v>
      </c>
      <c r="AD282">
        <v>0</v>
      </c>
      <c r="AN282">
        <v>0</v>
      </c>
      <c r="AO282">
        <v>1</v>
      </c>
      <c r="AP282">
        <v>0</v>
      </c>
      <c r="AQ282">
        <v>0</v>
      </c>
      <c r="AR282">
        <v>0</v>
      </c>
      <c r="AT282">
        <v>0.1</v>
      </c>
      <c r="AV282">
        <v>0</v>
      </c>
    </row>
    <row r="283" spans="1:48" ht="12.75">
      <c r="A283">
        <f>ROW(Source!A108)</f>
        <v>108</v>
      </c>
      <c r="B283">
        <v>7700812</v>
      </c>
      <c r="C283">
        <v>7700797</v>
      </c>
      <c r="D283">
        <v>6358147</v>
      </c>
      <c r="E283">
        <v>1</v>
      </c>
      <c r="F283">
        <v>1</v>
      </c>
      <c r="G283">
        <v>1</v>
      </c>
      <c r="H283">
        <v>3</v>
      </c>
      <c r="I283" t="s">
        <v>413</v>
      </c>
      <c r="J283" t="s">
        <v>414</v>
      </c>
      <c r="K283" t="s">
        <v>415</v>
      </c>
      <c r="L283">
        <v>1355</v>
      </c>
      <c r="N283">
        <v>1010</v>
      </c>
      <c r="O283" t="s">
        <v>141</v>
      </c>
      <c r="P283" t="s">
        <v>141</v>
      </c>
      <c r="Q283">
        <v>100</v>
      </c>
      <c r="Y283">
        <v>2.2</v>
      </c>
      <c r="AA283">
        <v>0</v>
      </c>
      <c r="AB283">
        <v>0</v>
      </c>
      <c r="AC283">
        <v>0</v>
      </c>
      <c r="AD283">
        <v>0</v>
      </c>
      <c r="AN283">
        <v>0</v>
      </c>
      <c r="AO283">
        <v>1</v>
      </c>
      <c r="AP283">
        <v>0</v>
      </c>
      <c r="AQ283">
        <v>0</v>
      </c>
      <c r="AR283">
        <v>0</v>
      </c>
      <c r="AT283">
        <v>2.2</v>
      </c>
      <c r="AV283">
        <v>0</v>
      </c>
    </row>
    <row r="284" spans="1:48" ht="12.75">
      <c r="A284">
        <f>ROW(Source!A108)</f>
        <v>108</v>
      </c>
      <c r="B284">
        <v>7700813</v>
      </c>
      <c r="C284">
        <v>7700797</v>
      </c>
      <c r="D284">
        <v>6360695</v>
      </c>
      <c r="E284">
        <v>1</v>
      </c>
      <c r="F284">
        <v>1</v>
      </c>
      <c r="G284">
        <v>1</v>
      </c>
      <c r="H284">
        <v>3</v>
      </c>
      <c r="I284" t="s">
        <v>63</v>
      </c>
      <c r="J284" t="s">
        <v>66</v>
      </c>
      <c r="K284" t="s">
        <v>64</v>
      </c>
      <c r="L284">
        <v>1477</v>
      </c>
      <c r="N284">
        <v>1013</v>
      </c>
      <c r="O284" t="s">
        <v>65</v>
      </c>
      <c r="P284" t="s">
        <v>67</v>
      </c>
      <c r="Q284">
        <v>1</v>
      </c>
      <c r="Y284">
        <v>0.1</v>
      </c>
      <c r="AA284">
        <v>1154.18</v>
      </c>
      <c r="AB284">
        <v>0</v>
      </c>
      <c r="AC284">
        <v>0</v>
      </c>
      <c r="AD284">
        <v>0</v>
      </c>
      <c r="AN284">
        <v>0</v>
      </c>
      <c r="AO284">
        <v>0</v>
      </c>
      <c r="AP284">
        <v>2</v>
      </c>
      <c r="AQ284">
        <v>0</v>
      </c>
      <c r="AR284">
        <v>0</v>
      </c>
      <c r="AT284">
        <v>0.1</v>
      </c>
      <c r="AV284">
        <v>0</v>
      </c>
    </row>
    <row r="285" spans="1:48" ht="12.75">
      <c r="A285">
        <f>ROW(Source!A111)</f>
        <v>111</v>
      </c>
      <c r="B285">
        <v>7700819</v>
      </c>
      <c r="C285">
        <v>7700798</v>
      </c>
      <c r="D285">
        <v>5607868</v>
      </c>
      <c r="E285">
        <v>1</v>
      </c>
      <c r="F285">
        <v>1</v>
      </c>
      <c r="G285">
        <v>1</v>
      </c>
      <c r="H285">
        <v>1</v>
      </c>
      <c r="I285" t="s">
        <v>523</v>
      </c>
      <c r="K285" t="s">
        <v>524</v>
      </c>
      <c r="L285">
        <v>1476</v>
      </c>
      <c r="N285">
        <v>1013</v>
      </c>
      <c r="O285" t="s">
        <v>271</v>
      </c>
      <c r="P285" t="s">
        <v>272</v>
      </c>
      <c r="Q285">
        <v>1</v>
      </c>
      <c r="Y285">
        <v>1.87</v>
      </c>
      <c r="AA285">
        <v>0</v>
      </c>
      <c r="AB285">
        <v>0</v>
      </c>
      <c r="AC285">
        <v>0</v>
      </c>
      <c r="AD285">
        <v>9.51</v>
      </c>
      <c r="AN285">
        <v>0</v>
      </c>
      <c r="AO285">
        <v>1</v>
      </c>
      <c r="AP285">
        <v>0</v>
      </c>
      <c r="AQ285">
        <v>0</v>
      </c>
      <c r="AR285">
        <v>0</v>
      </c>
      <c r="AT285">
        <v>1.87</v>
      </c>
      <c r="AV285">
        <v>1</v>
      </c>
    </row>
    <row r="286" spans="1:48" ht="12.75">
      <c r="A286">
        <f>ROW(Source!A111)</f>
        <v>111</v>
      </c>
      <c r="B286">
        <v>7700820</v>
      </c>
      <c r="C286">
        <v>7700798</v>
      </c>
      <c r="D286">
        <v>121548</v>
      </c>
      <c r="E286">
        <v>1</v>
      </c>
      <c r="F286">
        <v>1</v>
      </c>
      <c r="G286">
        <v>1</v>
      </c>
      <c r="H286">
        <v>1</v>
      </c>
      <c r="I286" t="s">
        <v>24</v>
      </c>
      <c r="K286" t="s">
        <v>273</v>
      </c>
      <c r="L286">
        <v>608254</v>
      </c>
      <c r="N286">
        <v>1013</v>
      </c>
      <c r="O286" t="s">
        <v>274</v>
      </c>
      <c r="P286" t="s">
        <v>274</v>
      </c>
      <c r="Q286">
        <v>1</v>
      </c>
      <c r="Y286">
        <v>0.006</v>
      </c>
      <c r="AA286">
        <v>0</v>
      </c>
      <c r="AB286">
        <v>0</v>
      </c>
      <c r="AC286">
        <v>0</v>
      </c>
      <c r="AD286">
        <v>0</v>
      </c>
      <c r="AN286">
        <v>0</v>
      </c>
      <c r="AO286">
        <v>1</v>
      </c>
      <c r="AP286">
        <v>0</v>
      </c>
      <c r="AQ286">
        <v>0</v>
      </c>
      <c r="AR286">
        <v>0</v>
      </c>
      <c r="AT286">
        <v>0.006</v>
      </c>
      <c r="AV286">
        <v>2</v>
      </c>
    </row>
    <row r="287" spans="1:48" ht="12.75">
      <c r="A287">
        <f>ROW(Source!A111)</f>
        <v>111</v>
      </c>
      <c r="B287">
        <v>7700821</v>
      </c>
      <c r="C287">
        <v>7700798</v>
      </c>
      <c r="D287">
        <v>6298444</v>
      </c>
      <c r="E287">
        <v>1</v>
      </c>
      <c r="F287">
        <v>1</v>
      </c>
      <c r="G287">
        <v>1</v>
      </c>
      <c r="H287">
        <v>2</v>
      </c>
      <c r="I287" t="s">
        <v>275</v>
      </c>
      <c r="J287" t="s">
        <v>276</v>
      </c>
      <c r="K287" t="s">
        <v>277</v>
      </c>
      <c r="L287">
        <v>1480</v>
      </c>
      <c r="N287">
        <v>1013</v>
      </c>
      <c r="O287" t="s">
        <v>278</v>
      </c>
      <c r="P287" t="s">
        <v>279</v>
      </c>
      <c r="Q287">
        <v>1</v>
      </c>
      <c r="Y287">
        <v>0.003</v>
      </c>
      <c r="AA287">
        <v>0</v>
      </c>
      <c r="AB287">
        <v>134.99</v>
      </c>
      <c r="AC287">
        <v>11.81</v>
      </c>
      <c r="AD287">
        <v>0</v>
      </c>
      <c r="AN287">
        <v>0</v>
      </c>
      <c r="AO287">
        <v>1</v>
      </c>
      <c r="AP287">
        <v>0</v>
      </c>
      <c r="AQ287">
        <v>0</v>
      </c>
      <c r="AR287">
        <v>0</v>
      </c>
      <c r="AT287">
        <v>0.003</v>
      </c>
      <c r="AV287">
        <v>0</v>
      </c>
    </row>
    <row r="288" spans="1:48" ht="12.75">
      <c r="A288">
        <f>ROW(Source!A111)</f>
        <v>111</v>
      </c>
      <c r="B288">
        <v>7700822</v>
      </c>
      <c r="C288">
        <v>7700798</v>
      </c>
      <c r="D288">
        <v>6298559</v>
      </c>
      <c r="E288">
        <v>1</v>
      </c>
      <c r="F288">
        <v>1</v>
      </c>
      <c r="G288">
        <v>1</v>
      </c>
      <c r="H288">
        <v>2</v>
      </c>
      <c r="I288" t="s">
        <v>280</v>
      </c>
      <c r="J288" t="s">
        <v>281</v>
      </c>
      <c r="K288" t="s">
        <v>282</v>
      </c>
      <c r="L288">
        <v>1368</v>
      </c>
      <c r="N288">
        <v>1011</v>
      </c>
      <c r="O288" t="s">
        <v>283</v>
      </c>
      <c r="P288" t="s">
        <v>283</v>
      </c>
      <c r="Q288">
        <v>1</v>
      </c>
      <c r="Y288">
        <v>0.01</v>
      </c>
      <c r="AA288">
        <v>0</v>
      </c>
      <c r="AB288">
        <v>2.94</v>
      </c>
      <c r="AC288">
        <v>0</v>
      </c>
      <c r="AD288">
        <v>0</v>
      </c>
      <c r="AN288">
        <v>0</v>
      </c>
      <c r="AO288">
        <v>1</v>
      </c>
      <c r="AP288">
        <v>0</v>
      </c>
      <c r="AQ288">
        <v>0</v>
      </c>
      <c r="AR288">
        <v>0</v>
      </c>
      <c r="AT288">
        <v>0.01</v>
      </c>
      <c r="AV288">
        <v>0</v>
      </c>
    </row>
    <row r="289" spans="1:48" ht="12.75">
      <c r="A289">
        <f>ROW(Source!A111)</f>
        <v>111</v>
      </c>
      <c r="B289">
        <v>7700823</v>
      </c>
      <c r="C289">
        <v>7700798</v>
      </c>
      <c r="D289">
        <v>6300327</v>
      </c>
      <c r="E289">
        <v>1</v>
      </c>
      <c r="F289">
        <v>1</v>
      </c>
      <c r="G289">
        <v>1</v>
      </c>
      <c r="H289">
        <v>2</v>
      </c>
      <c r="I289" t="s">
        <v>419</v>
      </c>
      <c r="J289" t="s">
        <v>322</v>
      </c>
      <c r="K289" t="s">
        <v>420</v>
      </c>
      <c r="L289">
        <v>1368</v>
      </c>
      <c r="N289">
        <v>1011</v>
      </c>
      <c r="O289" t="s">
        <v>283</v>
      </c>
      <c r="P289" t="s">
        <v>283</v>
      </c>
      <c r="Q289">
        <v>1</v>
      </c>
      <c r="Y289">
        <v>0.12</v>
      </c>
      <c r="AA289">
        <v>0</v>
      </c>
      <c r="AB289">
        <v>2.95</v>
      </c>
      <c r="AC289">
        <v>0</v>
      </c>
      <c r="AD289">
        <v>0</v>
      </c>
      <c r="AN289">
        <v>0</v>
      </c>
      <c r="AO289">
        <v>1</v>
      </c>
      <c r="AP289">
        <v>0</v>
      </c>
      <c r="AQ289">
        <v>0</v>
      </c>
      <c r="AR289">
        <v>0</v>
      </c>
      <c r="AT289">
        <v>0.12</v>
      </c>
      <c r="AV289">
        <v>0</v>
      </c>
    </row>
    <row r="290" spans="1:48" ht="12.75">
      <c r="A290">
        <f>ROW(Source!A111)</f>
        <v>111</v>
      </c>
      <c r="B290">
        <v>7700824</v>
      </c>
      <c r="C290">
        <v>7700798</v>
      </c>
      <c r="D290">
        <v>6300746</v>
      </c>
      <c r="E290">
        <v>1</v>
      </c>
      <c r="F290">
        <v>1</v>
      </c>
      <c r="G290">
        <v>1</v>
      </c>
      <c r="H290">
        <v>2</v>
      </c>
      <c r="I290" t="s">
        <v>374</v>
      </c>
      <c r="J290" t="s">
        <v>375</v>
      </c>
      <c r="K290" t="s">
        <v>376</v>
      </c>
      <c r="L290">
        <v>1368</v>
      </c>
      <c r="N290">
        <v>1011</v>
      </c>
      <c r="O290" t="s">
        <v>283</v>
      </c>
      <c r="P290" t="s">
        <v>283</v>
      </c>
      <c r="Q290">
        <v>1</v>
      </c>
      <c r="Y290">
        <v>0.003</v>
      </c>
      <c r="AA290">
        <v>0</v>
      </c>
      <c r="AB290">
        <v>70.53</v>
      </c>
      <c r="AC290">
        <v>33.66</v>
      </c>
      <c r="AD290">
        <v>0</v>
      </c>
      <c r="AN290">
        <v>0</v>
      </c>
      <c r="AO290">
        <v>1</v>
      </c>
      <c r="AP290">
        <v>0</v>
      </c>
      <c r="AQ290">
        <v>0</v>
      </c>
      <c r="AR290">
        <v>0</v>
      </c>
      <c r="AT290">
        <v>0.003</v>
      </c>
      <c r="AV290">
        <v>0</v>
      </c>
    </row>
    <row r="291" spans="1:48" ht="12.75">
      <c r="A291">
        <f>ROW(Source!A111)</f>
        <v>111</v>
      </c>
      <c r="B291">
        <v>7700840</v>
      </c>
      <c r="C291">
        <v>7700798</v>
      </c>
      <c r="D291">
        <v>0</v>
      </c>
      <c r="E291">
        <v>0</v>
      </c>
      <c r="F291">
        <v>1</v>
      </c>
      <c r="G291">
        <v>1</v>
      </c>
      <c r="H291">
        <v>3</v>
      </c>
      <c r="K291" t="s">
        <v>544</v>
      </c>
      <c r="L291">
        <v>1371</v>
      </c>
      <c r="N291">
        <v>1013</v>
      </c>
      <c r="O291" t="s">
        <v>43</v>
      </c>
      <c r="P291" t="s">
        <v>43</v>
      </c>
      <c r="Q291">
        <v>1</v>
      </c>
      <c r="Y291">
        <v>0</v>
      </c>
      <c r="AA291">
        <v>37.23</v>
      </c>
      <c r="AB291">
        <v>0</v>
      </c>
      <c r="AC291">
        <v>0</v>
      </c>
      <c r="AD291">
        <v>0</v>
      </c>
      <c r="AN291">
        <v>0</v>
      </c>
      <c r="AO291">
        <v>0</v>
      </c>
      <c r="AP291">
        <v>2</v>
      </c>
      <c r="AQ291">
        <v>0</v>
      </c>
      <c r="AR291">
        <v>0</v>
      </c>
      <c r="AT291">
        <v>0</v>
      </c>
      <c r="AV291">
        <v>0</v>
      </c>
    </row>
    <row r="292" spans="1:48" ht="12.75">
      <c r="A292">
        <f>ROW(Source!A111)</f>
        <v>111</v>
      </c>
      <c r="B292">
        <v>7700838</v>
      </c>
      <c r="C292">
        <v>7700798</v>
      </c>
      <c r="D292">
        <v>0</v>
      </c>
      <c r="E292">
        <v>0</v>
      </c>
      <c r="F292">
        <v>1</v>
      </c>
      <c r="G292">
        <v>1</v>
      </c>
      <c r="H292">
        <v>3</v>
      </c>
      <c r="K292" t="s">
        <v>202</v>
      </c>
      <c r="L292">
        <v>1371</v>
      </c>
      <c r="N292">
        <v>1013</v>
      </c>
      <c r="O292" t="s">
        <v>43</v>
      </c>
      <c r="P292" t="s">
        <v>43</v>
      </c>
      <c r="Q292">
        <v>1</v>
      </c>
      <c r="Y292">
        <v>1</v>
      </c>
      <c r="AA292">
        <v>359.73</v>
      </c>
      <c r="AB292">
        <v>0</v>
      </c>
      <c r="AC292">
        <v>0</v>
      </c>
      <c r="AD292">
        <v>0</v>
      </c>
      <c r="AN292">
        <v>0</v>
      </c>
      <c r="AO292">
        <v>0</v>
      </c>
      <c r="AP292">
        <v>2</v>
      </c>
      <c r="AQ292">
        <v>0</v>
      </c>
      <c r="AR292">
        <v>0</v>
      </c>
      <c r="AT292">
        <v>1</v>
      </c>
      <c r="AV292">
        <v>0</v>
      </c>
    </row>
    <row r="293" spans="1:48" ht="12.75">
      <c r="A293">
        <f>ROW(Source!A111)</f>
        <v>111</v>
      </c>
      <c r="B293">
        <v>7700825</v>
      </c>
      <c r="C293">
        <v>7700798</v>
      </c>
      <c r="D293">
        <v>6332387</v>
      </c>
      <c r="E293">
        <v>1</v>
      </c>
      <c r="F293">
        <v>1</v>
      </c>
      <c r="G293">
        <v>1</v>
      </c>
      <c r="H293">
        <v>3</v>
      </c>
      <c r="I293" t="s">
        <v>404</v>
      </c>
      <c r="J293" t="s">
        <v>405</v>
      </c>
      <c r="K293" t="s">
        <v>406</v>
      </c>
      <c r="L293">
        <v>1346</v>
      </c>
      <c r="N293">
        <v>1009</v>
      </c>
      <c r="O293" t="s">
        <v>306</v>
      </c>
      <c r="P293" t="s">
        <v>306</v>
      </c>
      <c r="Q293">
        <v>1</v>
      </c>
      <c r="Y293">
        <v>0.07</v>
      </c>
      <c r="AA293">
        <v>9.45</v>
      </c>
      <c r="AB293">
        <v>0</v>
      </c>
      <c r="AC293">
        <v>0</v>
      </c>
      <c r="AD293">
        <v>0</v>
      </c>
      <c r="AN293">
        <v>0</v>
      </c>
      <c r="AO293">
        <v>1</v>
      </c>
      <c r="AP293">
        <v>0</v>
      </c>
      <c r="AQ293">
        <v>0</v>
      </c>
      <c r="AR293">
        <v>0</v>
      </c>
      <c r="AT293">
        <v>0.07</v>
      </c>
      <c r="AV293">
        <v>0</v>
      </c>
    </row>
    <row r="294" spans="1:48" ht="12.75">
      <c r="A294">
        <f>ROW(Source!A111)</f>
        <v>111</v>
      </c>
      <c r="B294">
        <v>7700826</v>
      </c>
      <c r="C294">
        <v>7700798</v>
      </c>
      <c r="D294">
        <v>6332572</v>
      </c>
      <c r="E294">
        <v>1</v>
      </c>
      <c r="F294">
        <v>1</v>
      </c>
      <c r="G294">
        <v>1</v>
      </c>
      <c r="H294">
        <v>3</v>
      </c>
      <c r="I294" t="s">
        <v>511</v>
      </c>
      <c r="J294" t="s">
        <v>512</v>
      </c>
      <c r="K294" t="s">
        <v>513</v>
      </c>
      <c r="L294">
        <v>1346</v>
      </c>
      <c r="N294">
        <v>1009</v>
      </c>
      <c r="O294" t="s">
        <v>306</v>
      </c>
      <c r="P294" t="s">
        <v>306</v>
      </c>
      <c r="Q294">
        <v>1</v>
      </c>
      <c r="Y294">
        <v>0.001</v>
      </c>
      <c r="AA294">
        <v>35.68</v>
      </c>
      <c r="AB294">
        <v>0</v>
      </c>
      <c r="AC294">
        <v>0</v>
      </c>
      <c r="AD294">
        <v>0</v>
      </c>
      <c r="AN294">
        <v>0</v>
      </c>
      <c r="AO294">
        <v>1</v>
      </c>
      <c r="AP294">
        <v>0</v>
      </c>
      <c r="AQ294">
        <v>0</v>
      </c>
      <c r="AR294">
        <v>0</v>
      </c>
      <c r="AT294">
        <v>0.001</v>
      </c>
      <c r="AV294">
        <v>0</v>
      </c>
    </row>
    <row r="295" spans="1:48" ht="12.75">
      <c r="A295">
        <f>ROW(Source!A111)</f>
        <v>111</v>
      </c>
      <c r="B295">
        <v>7700827</v>
      </c>
      <c r="C295">
        <v>7700798</v>
      </c>
      <c r="D295">
        <v>6332585</v>
      </c>
      <c r="E295">
        <v>1</v>
      </c>
      <c r="F295">
        <v>1</v>
      </c>
      <c r="G295">
        <v>1</v>
      </c>
      <c r="H295">
        <v>3</v>
      </c>
      <c r="I295" t="s">
        <v>460</v>
      </c>
      <c r="J295" t="s">
        <v>461</v>
      </c>
      <c r="K295" t="s">
        <v>462</v>
      </c>
      <c r="L295">
        <v>1346</v>
      </c>
      <c r="N295">
        <v>1009</v>
      </c>
      <c r="O295" t="s">
        <v>306</v>
      </c>
      <c r="P295" t="s">
        <v>306</v>
      </c>
      <c r="Q295">
        <v>1</v>
      </c>
      <c r="Y295">
        <v>0.05</v>
      </c>
      <c r="AA295">
        <v>19.08</v>
      </c>
      <c r="AB295">
        <v>0</v>
      </c>
      <c r="AC295">
        <v>0</v>
      </c>
      <c r="AD295">
        <v>0</v>
      </c>
      <c r="AN295">
        <v>0</v>
      </c>
      <c r="AO295">
        <v>1</v>
      </c>
      <c r="AP295">
        <v>0</v>
      </c>
      <c r="AQ295">
        <v>0</v>
      </c>
      <c r="AR295">
        <v>0</v>
      </c>
      <c r="AT295">
        <v>0.05</v>
      </c>
      <c r="AV295">
        <v>0</v>
      </c>
    </row>
    <row r="296" spans="1:48" ht="12.75">
      <c r="A296">
        <f>ROW(Source!A111)</f>
        <v>111</v>
      </c>
      <c r="B296">
        <v>7700828</v>
      </c>
      <c r="C296">
        <v>7700798</v>
      </c>
      <c r="D296">
        <v>6333052</v>
      </c>
      <c r="E296">
        <v>1</v>
      </c>
      <c r="F296">
        <v>1</v>
      </c>
      <c r="G296">
        <v>1</v>
      </c>
      <c r="H296">
        <v>3</v>
      </c>
      <c r="I296" t="s">
        <v>478</v>
      </c>
      <c r="J296" t="s">
        <v>479</v>
      </c>
      <c r="K296" t="s">
        <v>480</v>
      </c>
      <c r="L296">
        <v>1355</v>
      </c>
      <c r="N296">
        <v>1010</v>
      </c>
      <c r="O296" t="s">
        <v>141</v>
      </c>
      <c r="P296" t="s">
        <v>141</v>
      </c>
      <c r="Q296">
        <v>100</v>
      </c>
      <c r="Y296">
        <v>0.02</v>
      </c>
      <c r="AA296">
        <v>234.51</v>
      </c>
      <c r="AB296">
        <v>0</v>
      </c>
      <c r="AC296">
        <v>0</v>
      </c>
      <c r="AD296">
        <v>0</v>
      </c>
      <c r="AN296">
        <v>0</v>
      </c>
      <c r="AO296">
        <v>1</v>
      </c>
      <c r="AP296">
        <v>0</v>
      </c>
      <c r="AQ296">
        <v>0</v>
      </c>
      <c r="AR296">
        <v>0</v>
      </c>
      <c r="AT296">
        <v>0.02</v>
      </c>
      <c r="AV296">
        <v>0</v>
      </c>
    </row>
    <row r="297" spans="1:48" ht="12.75">
      <c r="A297">
        <f>ROW(Source!A111)</f>
        <v>111</v>
      </c>
      <c r="B297">
        <v>7700829</v>
      </c>
      <c r="C297">
        <v>7700798</v>
      </c>
      <c r="D297">
        <v>6333730</v>
      </c>
      <c r="E297">
        <v>1</v>
      </c>
      <c r="F297">
        <v>1</v>
      </c>
      <c r="G297">
        <v>1</v>
      </c>
      <c r="H297">
        <v>3</v>
      </c>
      <c r="I297" t="s">
        <v>525</v>
      </c>
      <c r="J297" t="s">
        <v>526</v>
      </c>
      <c r="K297" t="s">
        <v>527</v>
      </c>
      <c r="L297">
        <v>1346</v>
      </c>
      <c r="N297">
        <v>1009</v>
      </c>
      <c r="O297" t="s">
        <v>306</v>
      </c>
      <c r="P297" t="s">
        <v>306</v>
      </c>
      <c r="Q297">
        <v>1</v>
      </c>
      <c r="Y297">
        <v>0.006</v>
      </c>
      <c r="AA297">
        <v>40.15</v>
      </c>
      <c r="AB297">
        <v>0</v>
      </c>
      <c r="AC297">
        <v>0</v>
      </c>
      <c r="AD297">
        <v>0</v>
      </c>
      <c r="AN297">
        <v>0</v>
      </c>
      <c r="AO297">
        <v>1</v>
      </c>
      <c r="AP297">
        <v>0</v>
      </c>
      <c r="AQ297">
        <v>0</v>
      </c>
      <c r="AR297">
        <v>0</v>
      </c>
      <c r="AT297">
        <v>0.006</v>
      </c>
      <c r="AV297">
        <v>0</v>
      </c>
    </row>
    <row r="298" spans="1:48" ht="12.75">
      <c r="A298">
        <f>ROW(Source!A111)</f>
        <v>111</v>
      </c>
      <c r="B298">
        <v>7700830</v>
      </c>
      <c r="C298">
        <v>7700798</v>
      </c>
      <c r="D298">
        <v>6333904</v>
      </c>
      <c r="E298">
        <v>1</v>
      </c>
      <c r="F298">
        <v>1</v>
      </c>
      <c r="G298">
        <v>1</v>
      </c>
      <c r="H298">
        <v>3</v>
      </c>
      <c r="I298" t="s">
        <v>407</v>
      </c>
      <c r="J298" t="s">
        <v>408</v>
      </c>
      <c r="K298" t="s">
        <v>409</v>
      </c>
      <c r="L298">
        <v>1346</v>
      </c>
      <c r="N298">
        <v>1009</v>
      </c>
      <c r="O298" t="s">
        <v>306</v>
      </c>
      <c r="P298" t="s">
        <v>306</v>
      </c>
      <c r="Q298">
        <v>1</v>
      </c>
      <c r="Y298">
        <v>0.045</v>
      </c>
      <c r="AA298">
        <v>12.6</v>
      </c>
      <c r="AB298">
        <v>0</v>
      </c>
      <c r="AC298">
        <v>0</v>
      </c>
      <c r="AD298">
        <v>0</v>
      </c>
      <c r="AN298">
        <v>0</v>
      </c>
      <c r="AO298">
        <v>1</v>
      </c>
      <c r="AP298">
        <v>0</v>
      </c>
      <c r="AQ298">
        <v>0</v>
      </c>
      <c r="AR298">
        <v>0</v>
      </c>
      <c r="AT298">
        <v>0.045</v>
      </c>
      <c r="AV298">
        <v>0</v>
      </c>
    </row>
    <row r="299" spans="1:48" ht="12.75">
      <c r="A299">
        <f>ROW(Source!A111)</f>
        <v>111</v>
      </c>
      <c r="B299">
        <v>7700831</v>
      </c>
      <c r="C299">
        <v>7700798</v>
      </c>
      <c r="D299">
        <v>6342396</v>
      </c>
      <c r="E299">
        <v>1</v>
      </c>
      <c r="F299">
        <v>1</v>
      </c>
      <c r="G299">
        <v>1</v>
      </c>
      <c r="H299">
        <v>3</v>
      </c>
      <c r="I299" t="s">
        <v>528</v>
      </c>
      <c r="J299" t="s">
        <v>529</v>
      </c>
      <c r="K299" t="s">
        <v>530</v>
      </c>
      <c r="L299">
        <v>1348</v>
      </c>
      <c r="N299">
        <v>1009</v>
      </c>
      <c r="O299" t="s">
        <v>293</v>
      </c>
      <c r="P299" t="s">
        <v>293</v>
      </c>
      <c r="Q299">
        <v>1000</v>
      </c>
      <c r="Y299">
        <v>0.004</v>
      </c>
      <c r="AA299">
        <v>9287.21</v>
      </c>
      <c r="AB299">
        <v>0</v>
      </c>
      <c r="AC299">
        <v>0</v>
      </c>
      <c r="AD299">
        <v>0</v>
      </c>
      <c r="AN299">
        <v>0</v>
      </c>
      <c r="AO299">
        <v>1</v>
      </c>
      <c r="AP299">
        <v>0</v>
      </c>
      <c r="AQ299">
        <v>0</v>
      </c>
      <c r="AR299">
        <v>0</v>
      </c>
      <c r="AT299">
        <v>0.004</v>
      </c>
      <c r="AV299">
        <v>0</v>
      </c>
    </row>
    <row r="300" spans="1:48" ht="12.75">
      <c r="A300">
        <f>ROW(Source!A111)</f>
        <v>111</v>
      </c>
      <c r="B300">
        <v>7700832</v>
      </c>
      <c r="C300">
        <v>7700798</v>
      </c>
      <c r="D300">
        <v>6357779</v>
      </c>
      <c r="E300">
        <v>1</v>
      </c>
      <c r="F300">
        <v>1</v>
      </c>
      <c r="G300">
        <v>1</v>
      </c>
      <c r="H300">
        <v>3</v>
      </c>
      <c r="I300" t="s">
        <v>505</v>
      </c>
      <c r="J300" t="s">
        <v>506</v>
      </c>
      <c r="K300" t="s">
        <v>507</v>
      </c>
      <c r="L300">
        <v>1354</v>
      </c>
      <c r="N300">
        <v>1010</v>
      </c>
      <c r="O300" t="s">
        <v>20</v>
      </c>
      <c r="P300" t="s">
        <v>20</v>
      </c>
      <c r="Q300">
        <v>1</v>
      </c>
      <c r="Y300">
        <v>1</v>
      </c>
      <c r="AA300">
        <v>0</v>
      </c>
      <c r="AB300">
        <v>0</v>
      </c>
      <c r="AC300">
        <v>0</v>
      </c>
      <c r="AD300">
        <v>0</v>
      </c>
      <c r="AN300">
        <v>0</v>
      </c>
      <c r="AO300">
        <v>1</v>
      </c>
      <c r="AP300">
        <v>0</v>
      </c>
      <c r="AQ300">
        <v>0</v>
      </c>
      <c r="AR300">
        <v>0</v>
      </c>
      <c r="AT300">
        <v>1</v>
      </c>
      <c r="AV300">
        <v>0</v>
      </c>
    </row>
    <row r="301" spans="1:48" ht="12.75">
      <c r="A301">
        <f>ROW(Source!A111)</f>
        <v>111</v>
      </c>
      <c r="B301">
        <v>7700833</v>
      </c>
      <c r="C301">
        <v>7700798</v>
      </c>
      <c r="D301">
        <v>6358087</v>
      </c>
      <c r="E301">
        <v>1</v>
      </c>
      <c r="F301">
        <v>1</v>
      </c>
      <c r="G301">
        <v>1</v>
      </c>
      <c r="H301">
        <v>3</v>
      </c>
      <c r="I301" t="s">
        <v>390</v>
      </c>
      <c r="J301" t="s">
        <v>391</v>
      </c>
      <c r="K301" t="s">
        <v>392</v>
      </c>
      <c r="L301">
        <v>1355</v>
      </c>
      <c r="N301">
        <v>1010</v>
      </c>
      <c r="O301" t="s">
        <v>141</v>
      </c>
      <c r="P301" t="s">
        <v>141</v>
      </c>
      <c r="Q301">
        <v>100</v>
      </c>
      <c r="Y301">
        <v>0.01</v>
      </c>
      <c r="AA301">
        <v>142.5</v>
      </c>
      <c r="AB301">
        <v>0</v>
      </c>
      <c r="AC301">
        <v>0</v>
      </c>
      <c r="AD301">
        <v>0</v>
      </c>
      <c r="AN301">
        <v>0</v>
      </c>
      <c r="AO301">
        <v>1</v>
      </c>
      <c r="AP301">
        <v>0</v>
      </c>
      <c r="AQ301">
        <v>0</v>
      </c>
      <c r="AR301">
        <v>0</v>
      </c>
      <c r="AT301">
        <v>0.01</v>
      </c>
      <c r="AV301">
        <v>0</v>
      </c>
    </row>
    <row r="302" spans="1:48" ht="12.75">
      <c r="A302">
        <f>ROW(Source!A111)</f>
        <v>111</v>
      </c>
      <c r="B302">
        <v>7700834</v>
      </c>
      <c r="C302">
        <v>7700798</v>
      </c>
      <c r="D302">
        <v>6358089</v>
      </c>
      <c r="E302">
        <v>1</v>
      </c>
      <c r="F302">
        <v>1</v>
      </c>
      <c r="G302">
        <v>1</v>
      </c>
      <c r="H302">
        <v>3</v>
      </c>
      <c r="I302" t="s">
        <v>514</v>
      </c>
      <c r="J302" t="s">
        <v>515</v>
      </c>
      <c r="K302" t="s">
        <v>516</v>
      </c>
      <c r="L302">
        <v>1355</v>
      </c>
      <c r="N302">
        <v>1010</v>
      </c>
      <c r="O302" t="s">
        <v>141</v>
      </c>
      <c r="P302" t="s">
        <v>141</v>
      </c>
      <c r="Q302">
        <v>100</v>
      </c>
      <c r="Y302">
        <v>0.061</v>
      </c>
      <c r="AA302">
        <v>0</v>
      </c>
      <c r="AB302">
        <v>0</v>
      </c>
      <c r="AC302">
        <v>0</v>
      </c>
      <c r="AD302">
        <v>0</v>
      </c>
      <c r="AN302">
        <v>0</v>
      </c>
      <c r="AO302">
        <v>1</v>
      </c>
      <c r="AP302">
        <v>0</v>
      </c>
      <c r="AQ302">
        <v>0</v>
      </c>
      <c r="AR302">
        <v>0</v>
      </c>
      <c r="AT302">
        <v>0.061</v>
      </c>
      <c r="AV302">
        <v>0</v>
      </c>
    </row>
    <row r="303" spans="1:48" ht="12.75">
      <c r="A303">
        <f>ROW(Source!A111)</f>
        <v>111</v>
      </c>
      <c r="B303">
        <v>7700835</v>
      </c>
      <c r="C303">
        <v>7700798</v>
      </c>
      <c r="D303">
        <v>6358116</v>
      </c>
      <c r="E303">
        <v>1</v>
      </c>
      <c r="F303">
        <v>1</v>
      </c>
      <c r="G303">
        <v>1</v>
      </c>
      <c r="H303">
        <v>3</v>
      </c>
      <c r="I303" t="s">
        <v>517</v>
      </c>
      <c r="J303" t="s">
        <v>518</v>
      </c>
      <c r="K303" t="s">
        <v>519</v>
      </c>
      <c r="L303">
        <v>1346</v>
      </c>
      <c r="N303">
        <v>1009</v>
      </c>
      <c r="O303" t="s">
        <v>306</v>
      </c>
      <c r="P303" t="s">
        <v>306</v>
      </c>
      <c r="Q303">
        <v>1</v>
      </c>
      <c r="Y303">
        <v>0.001</v>
      </c>
      <c r="AA303">
        <v>0</v>
      </c>
      <c r="AB303">
        <v>0</v>
      </c>
      <c r="AC303">
        <v>0</v>
      </c>
      <c r="AD303">
        <v>0</v>
      </c>
      <c r="AN303">
        <v>0</v>
      </c>
      <c r="AO303">
        <v>1</v>
      </c>
      <c r="AP303">
        <v>0</v>
      </c>
      <c r="AQ303">
        <v>0</v>
      </c>
      <c r="AR303">
        <v>0</v>
      </c>
      <c r="AT303">
        <v>0.001</v>
      </c>
      <c r="AV303">
        <v>0</v>
      </c>
    </row>
    <row r="304" spans="1:48" ht="12.75">
      <c r="A304">
        <f>ROW(Source!A111)</f>
        <v>111</v>
      </c>
      <c r="B304">
        <v>7700836</v>
      </c>
      <c r="C304">
        <v>7700798</v>
      </c>
      <c r="D304">
        <v>6365572</v>
      </c>
      <c r="E304">
        <v>1</v>
      </c>
      <c r="F304">
        <v>1</v>
      </c>
      <c r="G304">
        <v>1</v>
      </c>
      <c r="H304">
        <v>3</v>
      </c>
      <c r="I304" t="s">
        <v>520</v>
      </c>
      <c r="J304" t="s">
        <v>521</v>
      </c>
      <c r="K304" t="s">
        <v>522</v>
      </c>
      <c r="L304">
        <v>1346</v>
      </c>
      <c r="N304">
        <v>1009</v>
      </c>
      <c r="O304" t="s">
        <v>306</v>
      </c>
      <c r="P304" t="s">
        <v>306</v>
      </c>
      <c r="Q304">
        <v>1</v>
      </c>
      <c r="Y304">
        <v>0.006</v>
      </c>
      <c r="AA304">
        <v>30.6</v>
      </c>
      <c r="AB304">
        <v>0</v>
      </c>
      <c r="AC304">
        <v>0</v>
      </c>
      <c r="AD304">
        <v>0</v>
      </c>
      <c r="AN304">
        <v>0</v>
      </c>
      <c r="AO304">
        <v>1</v>
      </c>
      <c r="AP304">
        <v>0</v>
      </c>
      <c r="AQ304">
        <v>0</v>
      </c>
      <c r="AR304">
        <v>0</v>
      </c>
      <c r="AT304">
        <v>0.006</v>
      </c>
      <c r="AV304">
        <v>0</v>
      </c>
    </row>
    <row r="305" spans="1:48" ht="12.75">
      <c r="A305">
        <f>ROW(Source!A111)</f>
        <v>111</v>
      </c>
      <c r="B305">
        <v>7700837</v>
      </c>
      <c r="C305">
        <v>7700798</v>
      </c>
      <c r="D305">
        <v>6365695</v>
      </c>
      <c r="E305">
        <v>1</v>
      </c>
      <c r="F305">
        <v>1</v>
      </c>
      <c r="G305">
        <v>1</v>
      </c>
      <c r="H305">
        <v>3</v>
      </c>
      <c r="I305" t="s">
        <v>416</v>
      </c>
      <c r="J305" t="s">
        <v>417</v>
      </c>
      <c r="K305" t="s">
        <v>418</v>
      </c>
      <c r="L305">
        <v>1346</v>
      </c>
      <c r="N305">
        <v>1009</v>
      </c>
      <c r="O305" t="s">
        <v>306</v>
      </c>
      <c r="P305" t="s">
        <v>306</v>
      </c>
      <c r="Q305">
        <v>1</v>
      </c>
      <c r="Y305">
        <v>0.012</v>
      </c>
      <c r="AA305">
        <v>91.29</v>
      </c>
      <c r="AB305">
        <v>0</v>
      </c>
      <c r="AC305">
        <v>0</v>
      </c>
      <c r="AD305">
        <v>0</v>
      </c>
      <c r="AN305">
        <v>0</v>
      </c>
      <c r="AO305">
        <v>1</v>
      </c>
      <c r="AP305">
        <v>0</v>
      </c>
      <c r="AQ305">
        <v>0</v>
      </c>
      <c r="AR305">
        <v>0</v>
      </c>
      <c r="AT305">
        <v>0.012</v>
      </c>
      <c r="AV305">
        <v>0</v>
      </c>
    </row>
    <row r="306" spans="1:48" ht="12.75">
      <c r="A306">
        <f>ROW(Source!A113)</f>
        <v>113</v>
      </c>
      <c r="B306">
        <v>7701056</v>
      </c>
      <c r="C306">
        <v>7701055</v>
      </c>
      <c r="D306">
        <v>5604442</v>
      </c>
      <c r="E306">
        <v>1</v>
      </c>
      <c r="F306">
        <v>1</v>
      </c>
      <c r="G306">
        <v>1</v>
      </c>
      <c r="H306">
        <v>1</v>
      </c>
      <c r="I306" t="s">
        <v>545</v>
      </c>
      <c r="K306" t="s">
        <v>546</v>
      </c>
      <c r="L306">
        <v>1476</v>
      </c>
      <c r="N306">
        <v>1013</v>
      </c>
      <c r="O306" t="s">
        <v>271</v>
      </c>
      <c r="P306" t="s">
        <v>272</v>
      </c>
      <c r="Q306">
        <v>1</v>
      </c>
      <c r="Y306">
        <v>7.1</v>
      </c>
      <c r="AA306">
        <v>0</v>
      </c>
      <c r="AB306">
        <v>0</v>
      </c>
      <c r="AC306">
        <v>0</v>
      </c>
      <c r="AD306">
        <v>8.52</v>
      </c>
      <c r="AN306">
        <v>0</v>
      </c>
      <c r="AO306">
        <v>1</v>
      </c>
      <c r="AP306">
        <v>0</v>
      </c>
      <c r="AQ306">
        <v>0</v>
      </c>
      <c r="AR306">
        <v>0</v>
      </c>
      <c r="AT306">
        <v>7.1</v>
      </c>
      <c r="AV306">
        <v>1</v>
      </c>
    </row>
    <row r="307" spans="1:48" ht="12.75">
      <c r="A307">
        <f>ROW(Source!A113)</f>
        <v>113</v>
      </c>
      <c r="B307">
        <v>7701057</v>
      </c>
      <c r="C307">
        <v>7701055</v>
      </c>
      <c r="D307">
        <v>6357254</v>
      </c>
      <c r="E307">
        <v>1</v>
      </c>
      <c r="F307">
        <v>1</v>
      </c>
      <c r="G307">
        <v>1</v>
      </c>
      <c r="H307">
        <v>3</v>
      </c>
      <c r="I307" t="s">
        <v>209</v>
      </c>
      <c r="J307" t="s">
        <v>212</v>
      </c>
      <c r="K307" t="s">
        <v>210</v>
      </c>
      <c r="L307">
        <v>1358</v>
      </c>
      <c r="N307">
        <v>1010</v>
      </c>
      <c r="O307" t="s">
        <v>211</v>
      </c>
      <c r="P307" t="s">
        <v>211</v>
      </c>
      <c r="Q307">
        <v>10</v>
      </c>
      <c r="Y307">
        <v>10</v>
      </c>
      <c r="AA307">
        <v>16.59</v>
      </c>
      <c r="AB307">
        <v>0</v>
      </c>
      <c r="AC307">
        <v>0</v>
      </c>
      <c r="AD307">
        <v>0</v>
      </c>
      <c r="AN307">
        <v>0</v>
      </c>
      <c r="AO307">
        <v>1</v>
      </c>
      <c r="AP307">
        <v>1</v>
      </c>
      <c r="AQ307">
        <v>0</v>
      </c>
      <c r="AR307">
        <v>0</v>
      </c>
      <c r="AT307">
        <v>10</v>
      </c>
      <c r="AV307">
        <v>0</v>
      </c>
    </row>
    <row r="308" spans="1:48" ht="12.75">
      <c r="A308">
        <f>ROW(Source!A115)</f>
        <v>115</v>
      </c>
      <c r="B308">
        <v>7704289</v>
      </c>
      <c r="C308">
        <v>7704288</v>
      </c>
      <c r="D308">
        <v>5608703</v>
      </c>
      <c r="E308">
        <v>1</v>
      </c>
      <c r="F308">
        <v>1</v>
      </c>
      <c r="G308">
        <v>1</v>
      </c>
      <c r="H308">
        <v>1</v>
      </c>
      <c r="I308" t="s">
        <v>366</v>
      </c>
      <c r="K308" t="s">
        <v>367</v>
      </c>
      <c r="L308">
        <v>1476</v>
      </c>
      <c r="N308">
        <v>1013</v>
      </c>
      <c r="O308" t="s">
        <v>271</v>
      </c>
      <c r="P308" t="s">
        <v>272</v>
      </c>
      <c r="Q308">
        <v>1</v>
      </c>
      <c r="Y308">
        <v>1.13</v>
      </c>
      <c r="AA308">
        <v>0</v>
      </c>
      <c r="AB308">
        <v>0</v>
      </c>
      <c r="AC308">
        <v>0</v>
      </c>
      <c r="AD308">
        <v>9.61</v>
      </c>
      <c r="AN308">
        <v>0</v>
      </c>
      <c r="AO308">
        <v>1</v>
      </c>
      <c r="AP308">
        <v>0</v>
      </c>
      <c r="AQ308">
        <v>0</v>
      </c>
      <c r="AR308">
        <v>0</v>
      </c>
      <c r="AT308">
        <v>1.13</v>
      </c>
      <c r="AV308">
        <v>1</v>
      </c>
    </row>
    <row r="309" spans="1:48" ht="12.75">
      <c r="A309">
        <f>ROW(Source!A115)</f>
        <v>115</v>
      </c>
      <c r="B309">
        <v>7704290</v>
      </c>
      <c r="C309">
        <v>7704288</v>
      </c>
      <c r="D309">
        <v>121548</v>
      </c>
      <c r="E309">
        <v>1</v>
      </c>
      <c r="F309">
        <v>1</v>
      </c>
      <c r="G309">
        <v>1</v>
      </c>
      <c r="H309">
        <v>1</v>
      </c>
      <c r="I309" t="s">
        <v>24</v>
      </c>
      <c r="K309" t="s">
        <v>273</v>
      </c>
      <c r="L309">
        <v>608254</v>
      </c>
      <c r="N309">
        <v>1013</v>
      </c>
      <c r="O309" t="s">
        <v>274</v>
      </c>
      <c r="P309" t="s">
        <v>274</v>
      </c>
      <c r="Q309">
        <v>1</v>
      </c>
      <c r="Y309">
        <v>0.08</v>
      </c>
      <c r="AA309">
        <v>0</v>
      </c>
      <c r="AB309">
        <v>0</v>
      </c>
      <c r="AC309">
        <v>0</v>
      </c>
      <c r="AD309">
        <v>0</v>
      </c>
      <c r="AN309">
        <v>0</v>
      </c>
      <c r="AO309">
        <v>1</v>
      </c>
      <c r="AP309">
        <v>0</v>
      </c>
      <c r="AQ309">
        <v>0</v>
      </c>
      <c r="AR309">
        <v>0</v>
      </c>
      <c r="AT309">
        <v>0.08</v>
      </c>
      <c r="AV309">
        <v>2</v>
      </c>
    </row>
    <row r="310" spans="1:48" ht="12.75">
      <c r="A310">
        <f>ROW(Source!A115)</f>
        <v>115</v>
      </c>
      <c r="B310">
        <v>7704291</v>
      </c>
      <c r="C310">
        <v>7704288</v>
      </c>
      <c r="D310">
        <v>6298444</v>
      </c>
      <c r="E310">
        <v>1</v>
      </c>
      <c r="F310">
        <v>1</v>
      </c>
      <c r="G310">
        <v>1</v>
      </c>
      <c r="H310">
        <v>2</v>
      </c>
      <c r="I310" t="s">
        <v>275</v>
      </c>
      <c r="J310" t="s">
        <v>276</v>
      </c>
      <c r="K310" t="s">
        <v>277</v>
      </c>
      <c r="L310">
        <v>1480</v>
      </c>
      <c r="N310">
        <v>1013</v>
      </c>
      <c r="O310" t="s">
        <v>278</v>
      </c>
      <c r="P310" t="s">
        <v>279</v>
      </c>
      <c r="Q310">
        <v>1</v>
      </c>
      <c r="Y310">
        <v>0.04</v>
      </c>
      <c r="AA310">
        <v>0</v>
      </c>
      <c r="AB310">
        <v>134.99</v>
      </c>
      <c r="AC310">
        <v>11.81</v>
      </c>
      <c r="AD310">
        <v>0</v>
      </c>
      <c r="AN310">
        <v>0</v>
      </c>
      <c r="AO310">
        <v>1</v>
      </c>
      <c r="AP310">
        <v>0</v>
      </c>
      <c r="AQ310">
        <v>0</v>
      </c>
      <c r="AR310">
        <v>0</v>
      </c>
      <c r="AT310">
        <v>0.04</v>
      </c>
      <c r="AV310">
        <v>0</v>
      </c>
    </row>
    <row r="311" spans="1:48" ht="12.75">
      <c r="A311">
        <f>ROW(Source!A115)</f>
        <v>115</v>
      </c>
      <c r="B311">
        <v>7704292</v>
      </c>
      <c r="C311">
        <v>7704288</v>
      </c>
      <c r="D311">
        <v>6300746</v>
      </c>
      <c r="E311">
        <v>1</v>
      </c>
      <c r="F311">
        <v>1</v>
      </c>
      <c r="G311">
        <v>1</v>
      </c>
      <c r="H311">
        <v>2</v>
      </c>
      <c r="I311" t="s">
        <v>374</v>
      </c>
      <c r="J311" t="s">
        <v>375</v>
      </c>
      <c r="K311" t="s">
        <v>376</v>
      </c>
      <c r="L311">
        <v>1368</v>
      </c>
      <c r="N311">
        <v>1011</v>
      </c>
      <c r="O311" t="s">
        <v>283</v>
      </c>
      <c r="P311" t="s">
        <v>283</v>
      </c>
      <c r="Q311">
        <v>1</v>
      </c>
      <c r="Y311">
        <v>0.04</v>
      </c>
      <c r="AA311">
        <v>0</v>
      </c>
      <c r="AB311">
        <v>70.53</v>
      </c>
      <c r="AC311">
        <v>33.66</v>
      </c>
      <c r="AD311">
        <v>0</v>
      </c>
      <c r="AN311">
        <v>0</v>
      </c>
      <c r="AO311">
        <v>1</v>
      </c>
      <c r="AP311">
        <v>0</v>
      </c>
      <c r="AQ311">
        <v>0</v>
      </c>
      <c r="AR311">
        <v>0</v>
      </c>
      <c r="AT311">
        <v>0.04</v>
      </c>
      <c r="AV311">
        <v>0</v>
      </c>
    </row>
    <row r="312" spans="1:48" ht="12.75">
      <c r="A312">
        <f>ROW(Source!A115)</f>
        <v>115</v>
      </c>
      <c r="B312">
        <v>7704295</v>
      </c>
      <c r="C312">
        <v>7704288</v>
      </c>
      <c r="D312">
        <v>0</v>
      </c>
      <c r="E312">
        <v>0</v>
      </c>
      <c r="F312">
        <v>1</v>
      </c>
      <c r="G312">
        <v>1</v>
      </c>
      <c r="H312">
        <v>3</v>
      </c>
      <c r="K312" t="s">
        <v>540</v>
      </c>
      <c r="L312">
        <v>1371</v>
      </c>
      <c r="N312">
        <v>1013</v>
      </c>
      <c r="O312" t="s">
        <v>43</v>
      </c>
      <c r="P312" t="s">
        <v>43</v>
      </c>
      <c r="Q312">
        <v>1</v>
      </c>
      <c r="Y312">
        <v>1</v>
      </c>
      <c r="AA312">
        <v>42.41</v>
      </c>
      <c r="AB312">
        <v>0</v>
      </c>
      <c r="AC312">
        <v>0</v>
      </c>
      <c r="AD312">
        <v>0</v>
      </c>
      <c r="AN312">
        <v>0</v>
      </c>
      <c r="AO312">
        <v>0</v>
      </c>
      <c r="AP312">
        <v>2</v>
      </c>
      <c r="AQ312">
        <v>0</v>
      </c>
      <c r="AR312">
        <v>0</v>
      </c>
      <c r="AT312">
        <v>1</v>
      </c>
      <c r="AV312">
        <v>0</v>
      </c>
    </row>
    <row r="313" spans="1:48" ht="12.75">
      <c r="A313">
        <f>ROW(Source!A115)</f>
        <v>115</v>
      </c>
      <c r="B313">
        <v>7704293</v>
      </c>
      <c r="C313">
        <v>7704288</v>
      </c>
      <c r="D313">
        <v>6332585</v>
      </c>
      <c r="E313">
        <v>1</v>
      </c>
      <c r="F313">
        <v>1</v>
      </c>
      <c r="G313">
        <v>1</v>
      </c>
      <c r="H313">
        <v>3</v>
      </c>
      <c r="I313" t="s">
        <v>460</v>
      </c>
      <c r="J313" t="s">
        <v>461</v>
      </c>
      <c r="K313" t="s">
        <v>462</v>
      </c>
      <c r="L313">
        <v>1346</v>
      </c>
      <c r="N313">
        <v>1009</v>
      </c>
      <c r="O313" t="s">
        <v>306</v>
      </c>
      <c r="P313" t="s">
        <v>306</v>
      </c>
      <c r="Q313">
        <v>1</v>
      </c>
      <c r="Y313">
        <v>0.06</v>
      </c>
      <c r="AA313">
        <v>19.08</v>
      </c>
      <c r="AB313">
        <v>0</v>
      </c>
      <c r="AC313">
        <v>0</v>
      </c>
      <c r="AD313">
        <v>0</v>
      </c>
      <c r="AN313">
        <v>0</v>
      </c>
      <c r="AO313">
        <v>1</v>
      </c>
      <c r="AP313">
        <v>0</v>
      </c>
      <c r="AQ313">
        <v>0</v>
      </c>
      <c r="AR313">
        <v>0</v>
      </c>
      <c r="AT313">
        <v>0.06</v>
      </c>
      <c r="AV313">
        <v>0</v>
      </c>
    </row>
    <row r="314" spans="1:48" ht="12.75">
      <c r="A314">
        <f>ROW(Source!A115)</f>
        <v>115</v>
      </c>
      <c r="B314">
        <v>7704294</v>
      </c>
      <c r="C314">
        <v>7704288</v>
      </c>
      <c r="D314">
        <v>6358182</v>
      </c>
      <c r="E314">
        <v>1</v>
      </c>
      <c r="F314">
        <v>1</v>
      </c>
      <c r="G314">
        <v>1</v>
      </c>
      <c r="H314">
        <v>3</v>
      </c>
      <c r="I314" t="s">
        <v>534</v>
      </c>
      <c r="J314" t="s">
        <v>535</v>
      </c>
      <c r="K314" t="s">
        <v>536</v>
      </c>
      <c r="L314">
        <v>1355</v>
      </c>
      <c r="N314">
        <v>1010</v>
      </c>
      <c r="O314" t="s">
        <v>141</v>
      </c>
      <c r="P314" t="s">
        <v>141</v>
      </c>
      <c r="Q314">
        <v>100</v>
      </c>
      <c r="Y314">
        <v>0.02</v>
      </c>
      <c r="AA314">
        <v>97.5</v>
      </c>
      <c r="AB314">
        <v>0</v>
      </c>
      <c r="AC314">
        <v>0</v>
      </c>
      <c r="AD314">
        <v>0</v>
      </c>
      <c r="AN314">
        <v>0</v>
      </c>
      <c r="AO314">
        <v>1</v>
      </c>
      <c r="AP314">
        <v>0</v>
      </c>
      <c r="AQ314">
        <v>0</v>
      </c>
      <c r="AR314">
        <v>0</v>
      </c>
      <c r="AT314">
        <v>0.02</v>
      </c>
      <c r="AV314">
        <v>0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2007-02-26T02:03:11Z</cp:lastPrinted>
  <dcterms:created xsi:type="dcterms:W3CDTF">2007-02-15T07:14:36Z</dcterms:created>
  <dcterms:modified xsi:type="dcterms:W3CDTF">2007-02-26T02:03:25Z</dcterms:modified>
  <cp:category/>
  <cp:version/>
  <cp:contentType/>
  <cp:contentStatus/>
</cp:coreProperties>
</file>