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40" activeTab="1"/>
  </bookViews>
  <sheets>
    <sheet name="Лист4" sheetId="1" r:id="rId1"/>
    <sheet name="Лист4 (2)" sheetId="2" r:id="rId2"/>
    <sheet name="Source" sheetId="3" r:id="rId3"/>
    <sheet name="SmtRes" sheetId="4" r:id="rId4"/>
    <sheet name="ClcRe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01_СС_Титул_pre_rep">#REF!</definedName>
    <definedName name="a02_СС_Шапка_pre_rep">#REF!</definedName>
    <definedName name="a08_СС_ЗаголовокЛимит_pre_rep">#REF!</definedName>
    <definedName name="a16_О_Лимитированные_pre_rep">#REF!</definedName>
    <definedName name="a24_С_ИтогГрафы_pre_rep">#REF!</definedName>
    <definedName name="a27_С_Концовка_pre_rep">#REF!</definedName>
    <definedName name="a33_Р_Заголовок_pre_rep">#REF!</definedName>
    <definedName name="a34_Р_ИтогГрафы_pre_rep">#REF!</definedName>
    <definedName name="a51_Ст_Строка_pre_rep">#REF!</definedName>
    <definedName name="a54_Ст_НРиСП_pre_rep">#REF!</definedName>
    <definedName name="a61_ПСт_Подстрока_pre_rep">#REF!</definedName>
    <definedName name="a64_ПСт_НРиСП_pre_rep">#REF!</definedName>
    <definedName name="_xlnm.Print_Area" localSheetId="0">'Лист4'!$A$1:$K$377</definedName>
    <definedName name="_xlnm.Print_Area" localSheetId="1">'Лист4 (2)'!$A$1:$K$362</definedName>
  </definedNames>
  <calcPr fullCalcOnLoad="1"/>
</workbook>
</file>

<file path=xl/sharedStrings.xml><?xml version="1.0" encoding="utf-8"?>
<sst xmlns="http://schemas.openxmlformats.org/spreadsheetml/2006/main" count="2862" uniqueCount="433">
  <si>
    <t>Smeta.ru  (095) 974-1589</t>
  </si>
  <si>
    <t>_PS_</t>
  </si>
  <si>
    <t>Smeta.ru</t>
  </si>
  <si>
    <t>ЗАО "Промсервис"  Доп. раб. место  FStS-0019551</t>
  </si>
  <si>
    <t>Газооборудование</t>
  </si>
  <si>
    <t/>
  </si>
  <si>
    <t>Сметные нормы списания</t>
  </si>
  <si>
    <t>Коды ценников</t>
  </si>
  <si>
    <t>ТЕР Ульяновск</t>
  </si>
  <si>
    <t>1_ Новое строительство (МДС 81.33-2004 и АП-5536/06)</t>
  </si>
  <si>
    <t>Ульяновская область</t>
  </si>
  <si>
    <t>Поправки для НБ 2001 нов МДС  для вер.2 с параметрами</t>
  </si>
  <si>
    <t>Новая локальная смета</t>
  </si>
  <si>
    <t>на Газооборудование</t>
  </si>
  <si>
    <t>{AA79C3E3-5FBE-4970-BAF3-9EB2B776CA7A}</t>
  </si>
  <si>
    <t>Сантехнические работы</t>
  </si>
  <si>
    <t>{844CCFDF-CDB2-4F46-B421-F163699D5C6D}</t>
  </si>
  <si>
    <t>1</t>
  </si>
  <si>
    <t>16-02-003-1</t>
  </si>
  <si>
    <t>Прокладка трубопроводов газоснабжения из стальных водогазопроводных неоцинкованных труб диаметром 15 мм</t>
  </si>
  <si>
    <t>100 м</t>
  </si>
  <si>
    <t>ТЕР Ульяновской обл.сб.16,гл.02,табл.003,поз.1</t>
  </si>
  <si>
    <t>)*1,25</t>
  </si>
  <si>
    <t>)*1,15</t>
  </si>
  <si>
    <t>100 м парапетных решеток</t>
  </si>
  <si>
    <t>Общестроительные работы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</si>
  <si>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</si>
  <si>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</si>
  <si>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2</t>
  </si>
  <si>
    <t>16-02-003-2</t>
  </si>
  <si>
    <t>Прокладка трубопроводов газоснабжения из стальных водогазопроводных неоцинкованных труб диаметром 20 мм</t>
  </si>
  <si>
    <t>ТЕР Ульяновской обл.сб.16,гл.02,табл.003,поз.2</t>
  </si>
  <si>
    <t>3</t>
  </si>
  <si>
    <t>16-02-003-3</t>
  </si>
  <si>
    <t>Прокладка трубопроводов газоснабжения из стальных водогазопроводных неоцинкованных труб диаметром 25 мм</t>
  </si>
  <si>
    <t>ТЕР Ульяновской обл.сб.16,гл.02,табл.003,поз.3</t>
  </si>
  <si>
    <t>4</t>
  </si>
  <si>
    <t>16-02-005-5</t>
  </si>
  <si>
    <t>Прокладка трубопроводов отопления и водоснабжения из стальных электросварных труб диаметром 100 мм</t>
  </si>
  <si>
    <t>ТЕР Ульяновской обл.сб.16,гл.02,табл.005,поз.5</t>
  </si>
  <si>
    <t>5</t>
  </si>
  <si>
    <t>16-02-005-2</t>
  </si>
  <si>
    <t>Прокладка трубопроводов отопления и водоснабжения из стальных электросварных труб диаметром 50 мм</t>
  </si>
  <si>
    <t>ТЕР Ульяновской обл.сб.16,гл.02,табл.005,поз.2</t>
  </si>
  <si>
    <t>6</t>
  </si>
  <si>
    <t>19-01-015-1</t>
  </si>
  <si>
    <t>Пневматическое испытание газопроводов</t>
  </si>
  <si>
    <t>ТЕР Ульяновской обл.сб.19,гл.01,табл.015,поз.1</t>
  </si>
  <si>
    <t>100 м газопровода</t>
  </si>
  <si>
    <t>7</t>
  </si>
  <si>
    <t>16-05-001-1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</si>
  <si>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</si>
  <si>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шт.</t>
  </si>
  <si>
    <t>ТЕР Ульяновской обл.сб.16,гл.05,табл.001,поз.1</t>
  </si>
  <si>
    <t>7,1</t>
  </si>
  <si>
    <t>С300-1140 код:300 1197</t>
  </si>
  <si>
    <t>Краны проходные натяжные муфтовые латунные 11б12бк1 для газа давлением 9,8 кПа (0,1 кгс/см2), диаметром 15,25 мм</t>
  </si>
  <si>
    <t>ШТ</t>
  </si>
  <si>
    <t>7,2</t>
  </si>
  <si>
    <t>С300-1191 код:300 1253</t>
  </si>
  <si>
    <t>Краны проходные натяжные муфтовые 11Ч3БК для газа, давлением 0,1 МПа (1 кгс/см2), диаметром 25 мм</t>
  </si>
  <si>
    <t>7,3</t>
  </si>
  <si>
    <t>С300-1162 код:300 1224</t>
  </si>
  <si>
    <t>Крепления для трубопроводов: кронштейны, планки, хомуты</t>
  </si>
  <si>
    <t>8</t>
  </si>
  <si>
    <t>16-02-003-6</t>
  </si>
  <si>
    <t>Прокладка трубопроводов газоснабжения из стальных водогазопроводных неоцинкованных труб диаметром 50 мм</t>
  </si>
  <si>
    <t>ТЕР Ульяновской обл.сб.16,гл.02,табл.003,поз.6</t>
  </si>
  <si>
    <t>9</t>
  </si>
  <si>
    <t>16-02-002-10</t>
  </si>
  <si>
    <t>Прокладка трубопроводов водоснабжения из стальных водогазопроводных оцинкованных труб диаметром 100 мм</t>
  </si>
  <si>
    <t>ТЕР Ульяновской обл.сб.16,гл.02,табл.002,поз.10</t>
  </si>
  <si>
    <t>10</t>
  </si>
  <si>
    <t>16-07-006-1</t>
  </si>
  <si>
    <t>Заделка сальников при проходе труб через фундаменты или стены подвала диаметром до 100 мм</t>
  </si>
  <si>
    <t>ТЕР Ульяновской обл.сб.16,гл.07,табл.006,поз.1</t>
  </si>
  <si>
    <t>1 сальник</t>
  </si>
  <si>
    <t>11</t>
  </si>
  <si>
    <t>16-02-007-4</t>
  </si>
  <si>
    <t>Установка фланцевых соединений на стальных трубопроводах диаметром 100 мм</t>
  </si>
  <si>
    <t>ТЕР Ульяновской обл.сб.16,гл.02,табл.007,поз.4</t>
  </si>
  <si>
    <t>1 соединение</t>
  </si>
  <si>
    <t>11,1</t>
  </si>
  <si>
    <t>300-0969</t>
  </si>
  <si>
    <t>Фланцы стальные плоские приварные из стали ВСт3сп2, ВСт3сп3; давлением 1.0 МПа (10 кгс/см2), диаметром 100 мм</t>
  </si>
  <si>
    <t>ТССЦ Ульяновской обл.,сб.300,поз.0969</t>
  </si>
  <si>
    <t>13</t>
  </si>
  <si>
    <t>13,1</t>
  </si>
  <si>
    <t>300-9124-036</t>
  </si>
  <si>
    <t>Задвижка Ду= 100мм 30с15нж</t>
  </si>
  <si>
    <t>13,4</t>
  </si>
  <si>
    <t>300-1003</t>
  </si>
  <si>
    <t>Фланцы стальные плоские приварные из стали ВСт3сп2, ВСт3сп3; давлением 2.5 МПа (25 кгс/см2), диаметром 100 мм</t>
  </si>
  <si>
    <t>ТССЦ Ульяновской обл.,сб.300,поз.1003</t>
  </si>
  <si>
    <t>14</t>
  </si>
  <si>
    <t>19-01-006-1</t>
  </si>
  <si>
    <t>Установка предохранительных клапанов диаметром до 50 мм</t>
  </si>
  <si>
    <t>ТЕР Ульяновской обл.сб.19,гл.01,табл.006,поз.1</t>
  </si>
  <si>
    <t>1 клапан</t>
  </si>
  <si>
    <t>14,1</t>
  </si>
  <si>
    <t>300-9172-001-73</t>
  </si>
  <si>
    <t>Клапан предохранительный 17ч18бр, 1,6мПа диаметр до:  50мм</t>
  </si>
  <si>
    <t>ТССЦ Ульяновской обл.,сб.300,поз.9172-001-73</t>
  </si>
  <si>
    <t>14,2</t>
  </si>
  <si>
    <t>Клапан термозапорный КТ3 диаметр 25мм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</si>
  <si>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</si>
  <si>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</si>
  <si>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</si>
  <si>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</si>
  <si>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</si>
  <si>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</si>
  <si>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</si>
  <si>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</si>
  <si>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</si>
  <si>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</si>
  <si>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</si>
  <si>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</si>
  <si>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</si>
  <si>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</si>
  <si>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</si>
  <si>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</si>
  <si>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</si>
  <si>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</si>
  <si>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</si>
  <si>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</si>
  <si>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</si>
  <si>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</si>
  <si>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Строительные работы</t>
  </si>
  <si>
    <t>{89682795-7FD9-47A5-89CC-B6DD319AE04B}</t>
  </si>
  <si>
    <t>15-04-030-4</t>
  </si>
  <si>
    <t>Масляная окраска металлических поверхностей решеток, переплетов, труб диаметром менее 50 мм и т.п., количество окрасок 2</t>
  </si>
  <si>
    <t>100 м2</t>
  </si>
  <si>
    <t>ТЕР Ульяновской обл.сб.15,гл.04,табл.030,поз.4</t>
  </si>
  <si>
    <t>100 м2 окрашиваемой поверхности</t>
  </si>
  <si>
    <t>Отделочные работы</t>
  </si>
  <si>
    <t>15</t>
  </si>
  <si>
    <t>15-04-030-3</t>
  </si>
  <si>
    <t>Масляная окраска металлических поверхностей стальных балок, труб диаметром более 50 мм и т.п., количество окрасок 2</t>
  </si>
  <si>
    <t>ТЕР Ульяновской обл.сб.15,гл.04,табл.030,поз.3</t>
  </si>
  <si>
    <t>Монтажные работы</t>
  </si>
  <si>
    <t>{EA007C1E-84AF-4CC7-BB0A-15FEC102E1C6}</t>
  </si>
  <si>
    <t>м11-02-022-5</t>
  </si>
  <si>
    <t>Ротаметр, счетчик, преобразователь, устанавливаемые на фланцевых соединениях, диаметр условного прохода, мм, до: 80</t>
  </si>
  <si>
    <t>ТЕРм Ульяновской обл.,сб.11,гл.02,табл.022,поз.5</t>
  </si>
  <si>
    <t>Монтаж оборудования</t>
  </si>
  <si>
    <t>43</t>
  </si>
  <si>
    <t>м11-03-001-2</t>
  </si>
  <si>
    <t>Прибор, масса, кг, до: 10</t>
  </si>
  <si>
    <t>ТЕРм Ульяновской обл.,сб.11,гл.03,табл.001,поз.2</t>
  </si>
  <si>
    <t>Оборудование</t>
  </si>
  <si>
    <t>{756B8530-A78F-406F-B1D9-20025D573EA1}</t>
  </si>
  <si>
    <t>Газосчетчик TZR-2-U 40 куб.м.</t>
  </si>
  <si>
    <t>Прочие работы</t>
  </si>
  <si>
    <t>прочие</t>
  </si>
  <si>
    <t>Сигнализатор загазованности САОГ-К-65</t>
  </si>
  <si>
    <t>индексы II квартал 35,09 3,21 2,98 4,26 2,52                                III квартал 35,75 3,27 3,04 4,36 2,60</t>
  </si>
  <si>
    <t>Инд_к_Мат</t>
  </si>
  <si>
    <t>Индекс к материалам</t>
  </si>
  <si>
    <t>Инд_к_ЭММ</t>
  </si>
  <si>
    <t>Индекс к эксплуатации машин и механизмов</t>
  </si>
  <si>
    <t>Инд_к_ОЗП</t>
  </si>
  <si>
    <t>Индекс к основной заработной плате</t>
  </si>
  <si>
    <t>Коэф_к_НР</t>
  </si>
  <si>
    <t>Коэффициент к накладным расходам</t>
  </si>
  <si>
    <t>ПЗ_с_инд</t>
  </si>
  <si>
    <t>Прямые затраты с учетом индекса, руб.</t>
  </si>
  <si>
    <t>СтМат_с_инд</t>
  </si>
  <si>
    <t>Стоимость материалов с учетом индекса, руб.</t>
  </si>
  <si>
    <t>ТрансМат</t>
  </si>
  <si>
    <t>Транспорт материалов, %</t>
  </si>
  <si>
    <t>СтМат_с_транс</t>
  </si>
  <si>
    <t>Стоимость материалов с учетом транспорта, руб.</t>
  </si>
  <si>
    <t>ЭксМаш_с_инд</t>
  </si>
  <si>
    <t>Эксплуатация машин с учетом индекса, руб.</t>
  </si>
  <si>
    <t>ЗМаш_с_инд</t>
  </si>
  <si>
    <t>Зарплата машинистов с учетом индекса, руб.</t>
  </si>
  <si>
    <t>ОЗР_с_инд</t>
  </si>
  <si>
    <t>Основная зарплата рабочих с учетом индекса, руб.</t>
  </si>
  <si>
    <t>НР_с_инд</t>
  </si>
  <si>
    <t>Накладные расходы с учетом индекса, руб.</t>
  </si>
  <si>
    <t>СП_с_инд</t>
  </si>
  <si>
    <t>Сметная прибыль с учетом индекса, руб.</t>
  </si>
  <si>
    <t>ИтогТекущ</t>
  </si>
  <si>
    <t>Итого в текущих ценах</t>
  </si>
  <si>
    <t>ВР_ЗД</t>
  </si>
  <si>
    <t>Временные здания и сооружения 3,1% от СМР (ГСН81-05-01-2001)</t>
  </si>
  <si>
    <t>ЗИМ_УД</t>
  </si>
  <si>
    <t>Зимнее удорожание 2,2% от СМР (ГСН81-05-02-2001)</t>
  </si>
  <si>
    <t>ИтогВРиЗУ</t>
  </si>
  <si>
    <t>Итого с временными и зимнем удорожанием</t>
  </si>
  <si>
    <t>НепредвРасх</t>
  </si>
  <si>
    <t>Непредвиденные расходы 1%  (МДС81-35.20-04)</t>
  </si>
  <si>
    <t>ИтогПоСмете</t>
  </si>
  <si>
    <t>ИТОГО ПО СМЕТЕ, руб.</t>
  </si>
  <si>
    <t>НДС</t>
  </si>
  <si>
    <t>НДС, %</t>
  </si>
  <si>
    <t>СумНДС</t>
  </si>
  <si>
    <t>Сумма НДС, руб.</t>
  </si>
  <si>
    <t>Итог_с_НДС</t>
  </si>
  <si>
    <t>Итого с НДС, руб.</t>
  </si>
  <si>
    <t>Report573</t>
  </si>
  <si>
    <t>1-4.0-73</t>
  </si>
  <si>
    <t>Затраты труда рабочих-строителей (средний разряд 4.0)</t>
  </si>
  <si>
    <t>чел.ч</t>
  </si>
  <si>
    <t>ЧЕЛ.Ч</t>
  </si>
  <si>
    <t>Затраты труда машинистов</t>
  </si>
  <si>
    <t>чел.час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</si>
  <si>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</si>
  <si>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</si>
  <si>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</si>
  <si>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</si>
  <si>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</si>
  <si>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</si>
  <si>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</si>
  <si>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</si>
  <si>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маш.-ч</t>
  </si>
  <si>
    <t>040504</t>
  </si>
  <si>
    <t>364500</t>
  </si>
  <si>
    <t>Аппараты для газовой сварки и резки</t>
  </si>
  <si>
    <t>400001</t>
  </si>
  <si>
    <t>451114</t>
  </si>
  <si>
    <t>Автомобили бортовые грузоподъемностью до 5 т</t>
  </si>
  <si>
    <t>101-0063</t>
  </si>
  <si>
    <t>ТССЦ Ульяновской обл.,сб.101,поз.0063</t>
  </si>
  <si>
    <t>Ацетилен растворенный технический марки А</t>
  </si>
  <si>
    <t>т</t>
  </si>
  <si>
    <t>101-0324</t>
  </si>
  <si>
    <t>ТССЦ Ульяновской обл.,сб.101,поз.0324</t>
  </si>
  <si>
    <t>Кислород технический газообразный</t>
  </si>
  <si>
    <t>м3</t>
  </si>
  <si>
    <t>101-0388</t>
  </si>
  <si>
    <t>ТССЦ Ульяновской обл.,сб.101,поз.0388</t>
  </si>
  <si>
    <t>Краски масляные земляные МА-0115: мумия, сурик железный</t>
  </si>
  <si>
    <t>101-0628</t>
  </si>
  <si>
    <t>ТССЦ Ульяновской обл.,сб.101,поз.0628</t>
  </si>
  <si>
    <t>Олифа комбинированная К-3</t>
  </si>
  <si>
    <t>101-0807</t>
  </si>
  <si>
    <t>ТССЦ Ульяновской обл.,сб.101,поз.0807</t>
  </si>
  <si>
    <t>Проволока сварочная легированная диаметром 4 мм</t>
  </si>
  <si>
    <t>101-1601</t>
  </si>
  <si>
    <t>ТССЦ Ульяновской обл.,сб.101,поз.1601</t>
  </si>
  <si>
    <t>Известь строительная негашеная хлорная марки А</t>
  </si>
  <si>
    <t>кг</t>
  </si>
  <si>
    <t>101-1669</t>
  </si>
  <si>
    <t>ТССЦ Ульяновской обл.,сб.101,поз.1669</t>
  </si>
  <si>
    <t>Очес льняной</t>
  </si>
  <si>
    <t>103-9140</t>
  </si>
  <si>
    <t>ТССЦ Ульяновской обл.,сб.103,поз.9140</t>
  </si>
  <si>
    <t>Арматура муфтовая</t>
  </si>
  <si>
    <t>300-1224</t>
  </si>
  <si>
    <t>ТССЦ Ульяновской обл.,сб.300,поз.1224</t>
  </si>
  <si>
    <t>300-1311</t>
  </si>
  <si>
    <t>ТССЦ Ульяновской обл.,сб.300,поз.1311</t>
  </si>
  <si>
    <t>Трубопроводы из стальных водогазопроводных неоцинкованных труб с гильзами и креплениями для газоснабжения диаметром 15 мм</t>
  </si>
  <si>
    <t>м</t>
  </si>
  <si>
    <t>411-0001</t>
  </si>
  <si>
    <t>ТССЦ Ульяновской обл.,сб.411,поз.0001</t>
  </si>
  <si>
    <t>Вода</t>
  </si>
  <si>
    <t>300-1312</t>
  </si>
  <si>
    <t>ТССЦ Ульяновской обл.,сб.300,поз.1312</t>
  </si>
  <si>
    <t>Трубопроводы из стальных водогазопроводных неоцинкованных труб с гильзами и креплениями для газоснабжения диаметром 20 мм</t>
  </si>
  <si>
    <t>300-1313</t>
  </si>
  <si>
    <t>ТССЦ Ульяновской обл.,сб.300,поз.1313</t>
  </si>
  <si>
    <t>Трубопроводы из стальных водогазопроводных неоцинкованных труб с гильзами и креплениями для газоснабжения диаметром 25 мм</t>
  </si>
  <si>
    <t>1-4.1-73</t>
  </si>
  <si>
    <t>Затраты труда рабочих-строителей (средний разряд 4.1)</t>
  </si>
  <si>
    <t>101-1602</t>
  </si>
  <si>
    <t>ТССЦ Ульяновской обл.,сб.101,поз.1602</t>
  </si>
  <si>
    <t>Ацетилен газообразный технический</t>
  </si>
  <si>
    <t>300-1320</t>
  </si>
  <si>
    <t>ТССЦ Ульяновской обл.,сб.300,поз.1320</t>
  </si>
  <si>
    <t>Трубопроводы из стальных электросварных труб для отопления и водоснабжения наружный диаметр 108 мм, толщина стенки 4 мм</t>
  </si>
  <si>
    <t>402-0004</t>
  </si>
  <si>
    <t>ТССЦ Ульяновской обл.,сб.402,поз.0004</t>
  </si>
  <si>
    <t>Раствор готовый кладочный цементный, марка 100</t>
  </si>
  <si>
    <t>300-1317</t>
  </si>
  <si>
    <t>ТССЦ Ульяновской обл.,сб.300,поз.1317</t>
  </si>
  <si>
    <t>Трубопроводы из стальных электросварных труб для отопления и водоснабжения наружный диаметр 57 мм, толщина стенки 3,5 мм</t>
  </si>
  <si>
    <t>1-5.1-73</t>
  </si>
  <si>
    <t>Затраты труда рабочих-строителей (средний разряд 5.1)</t>
  </si>
  <si>
    <t>101-0623</t>
  </si>
  <si>
    <t>ТССЦ Ульяновской обл.,сб.101,поз.0623</t>
  </si>
  <si>
    <t>Мыло твердое хозяйственное 72%</t>
  </si>
  <si>
    <t>101-1825</t>
  </si>
  <si>
    <t>ТССЦ Ульяновской обл.,сб.101,поз.1825</t>
  </si>
  <si>
    <t>Олифа натуральная</t>
  </si>
  <si>
    <t>1-3.5-73</t>
  </si>
  <si>
    <t>Затраты труда рабочих-строителей (средний разряд 3.5)</t>
  </si>
  <si>
    <t>040502</t>
  </si>
  <si>
    <t>344142</t>
  </si>
  <si>
    <t>Установки для сварки ручной дуговой (постоянного тока)</t>
  </si>
  <si>
    <t>101-1522</t>
  </si>
  <si>
    <t>ТССЦ Ульяновской обл.,сб.101,поз.1522</t>
  </si>
  <si>
    <t>Электроды диаметром 5 мм Э42А</t>
  </si>
  <si>
    <t>300-0039</t>
  </si>
  <si>
    <t>ТССЦ Ульяновской обл.,сб.300,поз.0039</t>
  </si>
  <si>
    <t>Болты с гайками и шайбами для санитарно-технических работ, диаметром 12 мм</t>
  </si>
  <si>
    <t>300-9009</t>
  </si>
  <si>
    <t>ТССЦ Ульяновской обл.,сб.300,поз.9009</t>
  </si>
  <si>
    <t>Арматура фланцевая</t>
  </si>
  <si>
    <t>300-9507</t>
  </si>
  <si>
    <t>ТССЦ Ульяновской обл.,сб.300,поз.9507</t>
  </si>
  <si>
    <t>Фланцы стальные</t>
  </si>
  <si>
    <t>541-0063</t>
  </si>
  <si>
    <t>ТССЦ, Ульяновской обл.сб.541,поз.0063</t>
  </si>
  <si>
    <t>Прокладки из паронита марки ПМБ, толщиной 1 мм, диаметром 50 мм</t>
  </si>
  <si>
    <t>1000 шт.</t>
  </si>
  <si>
    <t>300-1316</t>
  </si>
  <si>
    <t>ТССЦ Ульяновской обл.,сб.300,поз.1316</t>
  </si>
  <si>
    <t>Трубопроводы из стальных водогазопроводных неоцинкованных труб с гильзами и креплениями для газоснабжения диаметром 50 мм</t>
  </si>
  <si>
    <t>1-3.6-73</t>
  </si>
  <si>
    <t>Затраты труда рабочих-строителей (средний разряд 3.6)</t>
  </si>
  <si>
    <t>300-0896</t>
  </si>
  <si>
    <t>ТССЦ Ульяновской обл.,сб.300,поз.0896</t>
  </si>
  <si>
    <t>Узлы укрупненные монтажные (трубопроводы) из стальных водо-газопроводных оцинкованных труб с гильзами, диаметром 125 мм</t>
  </si>
  <si>
    <t>300-9013</t>
  </si>
  <si>
    <t>ТССЦ Ульяновской обл.,сб.300,поз.9013</t>
  </si>
  <si>
    <t>компл.</t>
  </si>
  <si>
    <t>101-0596</t>
  </si>
  <si>
    <t>ТССЦ Ульяновской обл.,сб.101,поз.0596</t>
  </si>
  <si>
    <t>Мастика битумно-кукерсольная холодная</t>
  </si>
  <si>
    <t>101-1355</t>
  </si>
  <si>
    <t>ТССЦ Ульяновской обл.,сб.101,поз.1355</t>
  </si>
  <si>
    <t>Цемент гипсоглиноземистый расширяющийся</t>
  </si>
  <si>
    <t>101-1705</t>
  </si>
  <si>
    <t>ТССЦ Ульяновской обл.,сб.101,поз.1705</t>
  </si>
  <si>
    <t>Пакля пропитанная</t>
  </si>
  <si>
    <t>1-4.2-73</t>
  </si>
  <si>
    <t>Затраты труда рабочих-строителей (средний разряд 4.2)</t>
  </si>
  <si>
    <t>101-1514</t>
  </si>
  <si>
    <t>ТССЦ Ульяновской обл.,сб.101,поз.1514</t>
  </si>
  <si>
    <t>Электроды диаметром 4 мм Э42А</t>
  </si>
  <si>
    <t>1-3.3-73</t>
  </si>
  <si>
    <t>Затраты труда рабочих-строителей (средний разряд 3.3)</t>
  </si>
  <si>
    <t>031121</t>
  </si>
  <si>
    <t>483583</t>
  </si>
  <si>
    <t>Подъемники мачтовые строительные 0.5 т</t>
  </si>
  <si>
    <t>101-0435</t>
  </si>
  <si>
    <t>ТССЦ Ульяновской обл.,сб.101,поз.0435</t>
  </si>
  <si>
    <t>Краски цветные, готовые к применению для внутренних работ МА-22: бежевая, голубая, светло-серая</t>
  </si>
  <si>
    <t>101-1757</t>
  </si>
  <si>
    <t>ТССЦ Ульяновской обл.,сб.101,поз.1757</t>
  </si>
  <si>
    <t>Ветошь</t>
  </si>
  <si>
    <t>1-3.2-73</t>
  </si>
  <si>
    <t>Затраты труда рабочих-строителей (средний разряд 3.2)</t>
  </si>
  <si>
    <t>101-0092</t>
  </si>
  <si>
    <t>ТССЦ Ульяновской обл.,сб.101,поз.0092</t>
  </si>
  <si>
    <t>Болты с шестигранной головкой диаметром резьбы 16- (18) мм</t>
  </si>
  <si>
    <t>101-2046</t>
  </si>
  <si>
    <t>ТССЦ Ульяновской обл.,сб.101,поз.2046</t>
  </si>
  <si>
    <t>Шайбы оцинкованные диаметр 16 мм</t>
  </si>
  <si>
    <t>101-9892</t>
  </si>
  <si>
    <t>ТССЦ Ульяновской обл.,сб.101,поз.9892</t>
  </si>
  <si>
    <t>Прокладки паронитовые</t>
  </si>
  <si>
    <t>101-2036</t>
  </si>
  <si>
    <t>ТССЦ Ульяновской обл.,сб.101,поз.2036</t>
  </si>
  <si>
    <t>Болты с гайками и шайбами оцинкованные, диаметр 6 мм</t>
  </si>
  <si>
    <t>Наименование стройки:</t>
  </si>
  <si>
    <t>Объект:</t>
  </si>
  <si>
    <t>Наименование объекта:</t>
  </si>
  <si>
    <t>Основание:</t>
  </si>
  <si>
    <t>Сметная стоимость</t>
  </si>
  <si>
    <t>тыс.руб</t>
  </si>
  <si>
    <t>№</t>
  </si>
  <si>
    <t>п/п</t>
  </si>
  <si>
    <t>Шифр и №</t>
  </si>
  <si>
    <t>позиции</t>
  </si>
  <si>
    <t>Наименование работ и затрат,</t>
  </si>
  <si>
    <t>единица измерения</t>
  </si>
  <si>
    <t>Коли-</t>
  </si>
  <si>
    <t>чество</t>
  </si>
  <si>
    <t>Стоимость ед, руб.</t>
  </si>
  <si>
    <t>Всего</t>
  </si>
  <si>
    <t>Основной</t>
  </si>
  <si>
    <t>зар.платы</t>
  </si>
  <si>
    <t>Экспл.</t>
  </si>
  <si>
    <t>машин</t>
  </si>
  <si>
    <t>в т.ч.</t>
  </si>
  <si>
    <t>зарплаты</t>
  </si>
  <si>
    <t>Общая стоимость, руб.</t>
  </si>
  <si>
    <t>Затраты труда рабо-</t>
  </si>
  <si>
    <t>чих, чел.-ч., не заня-</t>
  </si>
  <si>
    <t>тых обсл. машин</t>
  </si>
  <si>
    <t>обслуж. машины</t>
  </si>
  <si>
    <t>на един.</t>
  </si>
  <si>
    <t>всего</t>
  </si>
  <si>
    <t>Раздел</t>
  </si>
  <si>
    <t>Коэфф. пересчёта: пункт</t>
  </si>
  <si>
    <t>Поправка к стоимости эксплуатации машин:</t>
  </si>
  <si>
    <t>Поправка к заработной плате машиниста:</t>
  </si>
  <si>
    <t>Поправка к заработной плате рабочих:</t>
  </si>
  <si>
    <t xml:space="preserve">Итого по разделу  </t>
  </si>
  <si>
    <t xml:space="preserve">Итого по объекту  </t>
  </si>
  <si>
    <t>Составил</t>
  </si>
  <si>
    <t>[должность,подпись(инициалы,фамилия)]</t>
  </si>
  <si>
    <t>Проверил</t>
  </si>
  <si>
    <t xml:space="preserve">% НР </t>
  </si>
  <si>
    <t xml:space="preserve">% СП </t>
  </si>
  <si>
    <t>норма-</t>
  </si>
  <si>
    <t>тива</t>
  </si>
  <si>
    <t>Утверждаю:</t>
  </si>
  <si>
    <r>
      <t xml:space="preserve">Подрядчик: </t>
    </r>
    <r>
      <rPr>
        <b/>
        <sz val="11"/>
        <rFont val="Arial Cyr"/>
        <family val="2"/>
      </rPr>
      <t>ЗАО"Промсервис"</t>
    </r>
  </si>
  <si>
    <t>Генеральный директор</t>
  </si>
  <si>
    <t>____________________А.А.Минаков</t>
  </si>
  <si>
    <t>"__"__________ 2006 г.</t>
  </si>
  <si>
    <t>Котельная в с. Филипповка Мелекесского района</t>
  </si>
  <si>
    <t xml:space="preserve">Локальная смета   </t>
  </si>
  <si>
    <t>Составлена в ценах 3 кв. 2006 г.</t>
  </si>
  <si>
    <t>Ведущий экономист</t>
  </si>
  <si>
    <t>Сютков А. А.</t>
  </si>
  <si>
    <t xml:space="preserve">Финансовый директор </t>
  </si>
  <si>
    <t>Ощепков С. П.</t>
  </si>
  <si>
    <t>Заместитель тех. директора</t>
  </si>
  <si>
    <t>Голдов А.В.</t>
  </si>
  <si>
    <t>Филипповка всего</t>
  </si>
  <si>
    <t>НМ всего</t>
  </si>
  <si>
    <t>Материалы</t>
  </si>
  <si>
    <t>при к=1</t>
  </si>
  <si>
    <t>в т. ч. обор.</t>
  </si>
  <si>
    <t>Итого с зимнем удорожанием</t>
  </si>
  <si>
    <t>Согласовываю:</t>
  </si>
  <si>
    <t>Начальник УТЭР, ЖКХ и С</t>
  </si>
  <si>
    <t>И.О.Главы администрации</t>
  </si>
  <si>
    <t>Русаков В.И._________________________</t>
  </si>
  <si>
    <t>Костик Л.А._________________</t>
  </si>
  <si>
    <t>на газоборудование</t>
  </si>
  <si>
    <t>Составлена в текущих ценах</t>
  </si>
  <si>
    <t>руб</t>
  </si>
  <si>
    <t>Директор МОУ СОШ  в с.Филипповка</t>
  </si>
  <si>
    <t>Семенова Л.Г.</t>
  </si>
  <si>
    <t>Локальная смета № 110-07</t>
  </si>
  <si>
    <t xml:space="preserve">Котельная для МОУ СОШ в с.Филипповка Мелекесского района </t>
  </si>
  <si>
    <t>Хисмятулов Г.Г.___________________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</si>
</sst>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0.000"/>
    <numFmt numFmtId="174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"/>
      <family val="0"/>
    </font>
    <font>
      <b/>
      <sz val="10"/>
      <name val="Arial Cyr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 shrinkToFit="1"/>
    </xf>
    <xf numFmtId="0" fontId="12" fillId="0" borderId="0" xfId="0" applyFont="1" applyAlignment="1">
      <alignment horizontal="right" wrapText="1" shrinkToFit="1"/>
    </xf>
    <xf numFmtId="0" fontId="8" fillId="0" borderId="14" xfId="0" applyFont="1" applyBorder="1" applyAlignment="1">
      <alignment/>
    </xf>
    <xf numFmtId="1" fontId="8" fillId="0" borderId="14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2" fontId="8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Border="1" applyAlignment="1">
      <alignment wrapText="1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2" fontId="16" fillId="0" borderId="0" xfId="0" applyNumberFormat="1" applyFont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2" fontId="1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9" fillId="0" borderId="0" xfId="0" applyNumberFormat="1" applyFont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2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14" fillId="0" borderId="1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46.063\&#1043;&#1072;&#1079;&#1086;&#1086;&#1073;&#1086;&#1088;&#1091;&#1076;&#1086;&#1074;&#1072;&#1085;&#1080;&#1077;_&#1053;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46.063\&#1040;&#1074;&#1090;&#1086;&#1084;&#1072;&#1090;&#1080;&#1082;&#1072;_&#1060;&#1080;&#1083;&#1080;&#1087;&#1087;&#1086;&#1074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46.063\&#1055;&#1091;&#1089;&#1082;&#1086;-&#1085;&#1072;&#1083;_&#1060;&#1080;&#1083;&#1080;&#1087;&#1087;&#1086;&#1074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46.063\&#1040;&#1074;&#1090;&#1086;&#1084;&#1072;&#1090;&#1080;&#1082;&#1072;_&#1053;&#10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lenak\LOCALS~1\Temp\Rar$DI46.063\&#1055;&#1091;&#1089;&#1082;&#1086;-&#1085;&#1072;&#1083;_&#1053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Source"/>
      <sheetName val="SmtRes"/>
      <sheetName val="ClcRes"/>
    </sheetNames>
    <sheetDataSet>
      <sheetData sheetId="0">
        <row r="21">
          <cell r="J21">
            <v>97.97813000000001</v>
          </cell>
        </row>
        <row r="331">
          <cell r="G331">
            <v>71190.63</v>
          </cell>
          <cell r="L331">
            <v>50850.41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Source"/>
      <sheetName val="SmtRes"/>
      <sheetName val="ClcRes"/>
    </sheetNames>
    <sheetDataSet>
      <sheetData sheetId="0">
        <row r="18">
          <cell r="J18">
            <v>176.06437</v>
          </cell>
        </row>
        <row r="370">
          <cell r="G370">
            <v>121816.75</v>
          </cell>
          <cell r="L370">
            <v>87012.02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  <sheetDataSet>
      <sheetData sheetId="0">
        <row r="18">
          <cell r="J18">
            <v>161.55973999999998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Source"/>
      <sheetName val="SmtRes"/>
      <sheetName val="ClcRes"/>
    </sheetNames>
    <sheetDataSet>
      <sheetData sheetId="0">
        <row r="19">
          <cell r="J19">
            <v>195.10610999999997</v>
          </cell>
        </row>
        <row r="388">
          <cell r="G388">
            <v>128830.85</v>
          </cell>
          <cell r="L388">
            <v>92022.08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  <sheetDataSet>
      <sheetData sheetId="0">
        <row r="19">
          <cell r="J19" t="str">
            <v>Затраты труда рабо-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2"/>
  <sheetViews>
    <sheetView showZeros="0" view="pageBreakPreview" zoomScaleSheetLayoutView="100" workbookViewId="0" topLeftCell="D14">
      <selection activeCell="L17" sqref="L17"/>
    </sheetView>
  </sheetViews>
  <sheetFormatPr defaultColWidth="9.140625" defaultRowHeight="12.75"/>
  <cols>
    <col min="1" max="1" width="4.00390625" style="0" customWidth="1"/>
    <col min="2" max="2" width="7.00390625" style="0" customWidth="1"/>
    <col min="3" max="3" width="34.421875" style="0" customWidth="1"/>
    <col min="4" max="4" width="8.140625" style="0" customWidth="1"/>
    <col min="7" max="7" width="8.28125" style="0" customWidth="1"/>
    <col min="8" max="8" width="7.7109375" style="0" customWidth="1"/>
    <col min="9" max="9" width="8.140625" style="0" customWidth="1"/>
    <col min="10" max="10" width="8.7109375" style="0" customWidth="1"/>
    <col min="11" max="11" width="8.140625" style="0" customWidth="1"/>
    <col min="12" max="12" width="9.57421875" style="0" bestFit="1" customWidth="1"/>
    <col min="13" max="13" width="11.00390625" style="0" customWidth="1"/>
    <col min="16" max="21" width="9.57421875" style="0" bestFit="1" customWidth="1"/>
    <col min="22" max="22" width="12.8515625" style="0" customWidth="1"/>
  </cols>
  <sheetData>
    <row r="1" spans="5:12" ht="14.25">
      <c r="E1" s="41"/>
      <c r="F1" s="37"/>
      <c r="G1" s="37"/>
      <c r="H1" s="82" t="s">
        <v>400</v>
      </c>
      <c r="I1" s="83"/>
      <c r="J1" s="43"/>
      <c r="K1" s="43"/>
      <c r="L1" s="44"/>
    </row>
    <row r="2" spans="5:12" ht="15">
      <c r="E2" s="41"/>
      <c r="F2" s="45"/>
      <c r="G2" s="41"/>
      <c r="H2" s="42" t="s">
        <v>401</v>
      </c>
      <c r="I2" s="46"/>
      <c r="J2" s="47"/>
      <c r="K2" s="43"/>
      <c r="L2" s="44"/>
    </row>
    <row r="3" spans="5:12" ht="15">
      <c r="E3" s="41"/>
      <c r="F3" s="45"/>
      <c r="G3" s="41"/>
      <c r="H3" s="42" t="s">
        <v>402</v>
      </c>
      <c r="I3" s="47"/>
      <c r="J3" s="48"/>
      <c r="K3" s="43"/>
      <c r="L3" s="44"/>
    </row>
    <row r="4" spans="5:12" ht="14.25">
      <c r="E4" s="49"/>
      <c r="F4" s="45"/>
      <c r="G4" s="49"/>
      <c r="H4" s="84" t="s">
        <v>403</v>
      </c>
      <c r="I4" s="85"/>
      <c r="J4" s="85"/>
      <c r="K4" s="85"/>
      <c r="L4" s="44"/>
    </row>
    <row r="5" spans="5:12" ht="12.75">
      <c r="E5" s="37"/>
      <c r="F5" s="52"/>
      <c r="G5" s="37"/>
      <c r="H5" s="53"/>
      <c r="I5" s="53"/>
      <c r="J5" s="53"/>
      <c r="K5" s="43"/>
      <c r="L5" s="44"/>
    </row>
    <row r="6" spans="5:13" ht="14.25">
      <c r="E6" s="37"/>
      <c r="F6" s="54"/>
      <c r="G6" s="54"/>
      <c r="H6" s="54"/>
      <c r="I6" s="55"/>
      <c r="J6" s="56"/>
      <c r="K6" s="50" t="s">
        <v>404</v>
      </c>
      <c r="L6" s="51"/>
      <c r="M6" s="51"/>
    </row>
    <row r="7" ht="12.75">
      <c r="A7" s="38"/>
    </row>
    <row r="8" spans="1:11" ht="12.75" customHeight="1">
      <c r="A8" s="4" t="s">
        <v>357</v>
      </c>
      <c r="D8" s="81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Котельная в с. Филипповка Мелекесского района</v>
      </c>
      <c r="E8" s="81"/>
      <c r="F8" s="81"/>
      <c r="G8" s="81"/>
      <c r="H8" s="81"/>
      <c r="I8" s="81"/>
      <c r="J8" s="81"/>
      <c r="K8" s="81"/>
    </row>
    <row r="9" spans="6:7" ht="12.75">
      <c r="F9" s="4" t="s">
        <v>358</v>
      </c>
      <c r="G9" s="5" t="str">
        <f>Source!F12</f>
        <v>Газооборудование</v>
      </c>
    </row>
    <row r="11" spans="1:11" ht="15">
      <c r="A11" s="87" t="s">
        <v>406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8.75">
      <c r="A12" s="88" t="str">
        <f>Source!G20</f>
        <v>на Газооборудование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4" spans="1:11" ht="12.75" customHeight="1">
      <c r="A14" s="4" t="s">
        <v>359</v>
      </c>
      <c r="D14" s="81" t="str">
        <f>IF(Source!G12&lt;&gt;"",Source!G12,Source!F12)</f>
        <v>Котельная в с. Филипповка Мелекесского района</v>
      </c>
      <c r="E14" s="81"/>
      <c r="F14" s="81"/>
      <c r="G14" s="81"/>
      <c r="H14" s="81"/>
      <c r="I14" s="81"/>
      <c r="J14" s="81"/>
      <c r="K14" s="81"/>
    </row>
    <row r="16" spans="1:12" ht="12.75">
      <c r="A16" s="4" t="s">
        <v>360</v>
      </c>
      <c r="C16" s="81">
        <f>Source!J12</f>
      </c>
      <c r="D16" s="81"/>
      <c r="E16" s="81"/>
      <c r="F16" s="81"/>
      <c r="G16" s="81"/>
      <c r="H16" s="81"/>
      <c r="I16" s="81"/>
      <c r="J16" s="81"/>
      <c r="K16" s="81"/>
      <c r="L16" t="s">
        <v>414</v>
      </c>
    </row>
    <row r="17" spans="1:12" ht="12.75">
      <c r="A17" s="4" t="s">
        <v>407</v>
      </c>
      <c r="C17" s="39"/>
      <c r="D17" s="6">
        <f>IF(AND('[1]Source'!P9&lt;&gt;0,'[1]Source'!Q9&lt;&gt;0),'[1]Source'!P9,IF('[1]Source'!AF9=0,"",'[1]Source'!AF9))</f>
      </c>
      <c r="L17" s="61">
        <f>J18+'[2]Лист1'!$J$18+'[3]Лист1'!$J$18</f>
        <v>437.18298</v>
      </c>
    </row>
    <row r="18" spans="7:12" ht="12.75">
      <c r="G18" s="4" t="s">
        <v>361</v>
      </c>
      <c r="J18" s="7">
        <f>(G368/1000)</f>
        <v>99.55887</v>
      </c>
      <c r="K18" s="5" t="s">
        <v>362</v>
      </c>
      <c r="L18">
        <v>1.4</v>
      </c>
    </row>
    <row r="19" spans="1:11" ht="12.75">
      <c r="A19" s="8"/>
      <c r="B19" s="8"/>
      <c r="C19" s="8"/>
      <c r="D19" s="8"/>
      <c r="E19" s="14" t="s">
        <v>371</v>
      </c>
      <c r="F19" s="13"/>
      <c r="G19" s="14" t="s">
        <v>379</v>
      </c>
      <c r="H19" s="12"/>
      <c r="I19" s="13"/>
      <c r="J19" s="20" t="s">
        <v>380</v>
      </c>
      <c r="K19" s="17"/>
    </row>
    <row r="20" spans="1:11" ht="12.75">
      <c r="A20" s="11" t="s">
        <v>363</v>
      </c>
      <c r="B20" s="11" t="s">
        <v>365</v>
      </c>
      <c r="C20" s="11" t="s">
        <v>367</v>
      </c>
      <c r="D20" s="11" t="s">
        <v>369</v>
      </c>
      <c r="E20" s="15"/>
      <c r="F20" s="15" t="s">
        <v>375</v>
      </c>
      <c r="G20" s="8"/>
      <c r="H20" s="8"/>
      <c r="I20" s="15" t="s">
        <v>375</v>
      </c>
      <c r="J20" s="21" t="s">
        <v>381</v>
      </c>
      <c r="K20" s="18"/>
    </row>
    <row r="21" spans="1:12" ht="12.75">
      <c r="A21" s="11" t="s">
        <v>364</v>
      </c>
      <c r="B21" s="11" t="s">
        <v>366</v>
      </c>
      <c r="C21" s="11" t="s">
        <v>368</v>
      </c>
      <c r="D21" s="11" t="s">
        <v>370</v>
      </c>
      <c r="E21" s="16" t="s">
        <v>372</v>
      </c>
      <c r="F21" s="16" t="s">
        <v>376</v>
      </c>
      <c r="G21" s="11" t="s">
        <v>372</v>
      </c>
      <c r="H21" s="11" t="s">
        <v>374</v>
      </c>
      <c r="I21" s="16" t="s">
        <v>376</v>
      </c>
      <c r="J21" s="22" t="s">
        <v>382</v>
      </c>
      <c r="K21" s="19"/>
      <c r="L21" s="60" t="s">
        <v>415</v>
      </c>
    </row>
    <row r="22" spans="1:12" ht="12.75">
      <c r="A22" s="9"/>
      <c r="B22" s="11" t="s">
        <v>398</v>
      </c>
      <c r="C22" s="9"/>
      <c r="D22" s="11"/>
      <c r="E22" s="15" t="s">
        <v>373</v>
      </c>
      <c r="F22" s="15" t="s">
        <v>377</v>
      </c>
      <c r="G22" s="11"/>
      <c r="H22" s="11"/>
      <c r="I22" s="15" t="s">
        <v>377</v>
      </c>
      <c r="J22" s="14" t="s">
        <v>383</v>
      </c>
      <c r="K22" s="23"/>
      <c r="L22" s="61" t="e">
        <f>'[1]Лист1'!$J$21+'[4]Лист1'!$J$19+'[5]Лист1'!$J$19</f>
        <v>#VALUE!</v>
      </c>
    </row>
    <row r="23" spans="1:11" ht="12.75">
      <c r="A23" s="10"/>
      <c r="B23" s="40" t="s">
        <v>399</v>
      </c>
      <c r="C23" s="10"/>
      <c r="D23" s="10"/>
      <c r="E23" s="16" t="s">
        <v>374</v>
      </c>
      <c r="F23" s="16" t="s">
        <v>378</v>
      </c>
      <c r="G23" s="10"/>
      <c r="H23" s="10"/>
      <c r="I23" s="16" t="s">
        <v>378</v>
      </c>
      <c r="J23" s="24" t="s">
        <v>384</v>
      </c>
      <c r="K23" s="24" t="s">
        <v>385</v>
      </c>
    </row>
    <row r="24" spans="1:11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24">
        <v>7</v>
      </c>
      <c r="H24" s="24">
        <v>8</v>
      </c>
      <c r="I24" s="24">
        <v>9</v>
      </c>
      <c r="J24" s="24">
        <v>10</v>
      </c>
      <c r="K24" s="24">
        <v>11</v>
      </c>
    </row>
    <row r="25" ht="12.75">
      <c r="L25" t="s">
        <v>385</v>
      </c>
    </row>
    <row r="26" spans="3:12" ht="15.75">
      <c r="C26" s="25" t="s">
        <v>386</v>
      </c>
      <c r="D26" s="89" t="str">
        <f>IF(Source!C12="1",Source!F24,Source!G24)</f>
        <v>Сантехнические работы</v>
      </c>
      <c r="E26" s="89"/>
      <c r="F26" s="89"/>
      <c r="G26" s="89"/>
      <c r="H26" s="89"/>
      <c r="I26" s="89"/>
      <c r="J26" s="89"/>
      <c r="K26" s="89"/>
      <c r="L26" s="61" t="e">
        <f>L17+L22</f>
        <v>#VALUE!</v>
      </c>
    </row>
    <row r="27" ht="12.75">
      <c r="L27" t="s">
        <v>418</v>
      </c>
    </row>
    <row r="28" spans="1:21" ht="48">
      <c r="A28" s="26" t="str">
        <f>Source!E28</f>
        <v>1</v>
      </c>
      <c r="B28" s="26" t="str">
        <f>Source!F28</f>
        <v>16-02-003-1</v>
      </c>
      <c r="C28" s="27" t="str">
        <f>Source!G28</f>
        <v>Прокладка трубопроводов газоснабжения из стальных водогазопроводных неоцинкованных труб диаметром 15 мм</v>
      </c>
      <c r="D28" s="5">
        <f>Source!I28</f>
        <v>0.005</v>
      </c>
      <c r="E28" s="29">
        <f>Source!AB28</f>
        <v>4800.906499999999</v>
      </c>
      <c r="F28" s="29">
        <f>Source!AD28</f>
        <v>60.625</v>
      </c>
      <c r="G28" s="6">
        <f>Source!O28</f>
        <v>24</v>
      </c>
      <c r="H28" s="6">
        <f>Source!S28</f>
        <v>1.71</v>
      </c>
      <c r="I28" s="30">
        <f>Source!Q28</f>
        <v>0.3</v>
      </c>
      <c r="J28" s="29">
        <f>Source!AH28</f>
        <v>30.91</v>
      </c>
      <c r="K28" s="30">
        <f>Source!U28</f>
        <v>0.15</v>
      </c>
      <c r="L28" s="61">
        <f>G340+'[2]Лист1'!G370+'[1]Лист1'!G331+'[4]Лист1'!G388</f>
        <v>394820.97</v>
      </c>
      <c r="M28" s="61">
        <f>L340+'[2]Лист1'!L370+'[1]Лист1'!L331+'[4]Лист1'!L388</f>
        <v>282015.04</v>
      </c>
      <c r="O28" s="61"/>
      <c r="P28" s="61"/>
      <c r="S28" s="61">
        <f>I340+'[2]Лист1'!I370+'[1]Лист1'!I331+'[4]Лист1'!I388</f>
        <v>0</v>
      </c>
      <c r="T28" s="61">
        <f>J340+'[2]Лист1'!J370+'[1]Лист1'!J331+'[4]Лист1'!J388</f>
        <v>0</v>
      </c>
      <c r="U28" s="61">
        <f>K340+'[2]Лист1'!K370+'[1]Лист1'!K331+'[4]Лист1'!K388</f>
        <v>0</v>
      </c>
    </row>
    <row r="29" spans="3:13" ht="12.75">
      <c r="C29" s="28" t="str">
        <f>Source!H28</f>
        <v>100 м</v>
      </c>
      <c r="D29" s="5"/>
      <c r="E29" s="5">
        <f>Source!AF28</f>
        <v>341.60749999999996</v>
      </c>
      <c r="F29" s="5">
        <f>Source!AE28</f>
        <v>8.7125</v>
      </c>
      <c r="G29" s="6"/>
      <c r="H29" s="6"/>
      <c r="I29" s="7">
        <f>Source!R28</f>
        <v>0.04</v>
      </c>
      <c r="J29" s="5">
        <f>Source!AI28</f>
        <v>0.59</v>
      </c>
      <c r="K29" s="6">
        <f>Source!V28</f>
        <v>0</v>
      </c>
      <c r="M29">
        <f>L28/M28*100</f>
        <v>139.9999695051725</v>
      </c>
    </row>
    <row r="30" spans="3:4" ht="12.75">
      <c r="C30" s="31" t="s">
        <v>387</v>
      </c>
      <c r="D30" s="32" t="str">
        <f>Source!BO28</f>
        <v>16-02-003-1</v>
      </c>
    </row>
    <row r="31" spans="3:4" ht="22.5">
      <c r="C31" s="31" t="s">
        <v>388</v>
      </c>
      <c r="D31" s="31" t="str">
        <f>Source!DE28</f>
        <v>)*1,25</v>
      </c>
    </row>
    <row r="32" spans="3:4" ht="12.75">
      <c r="C32" s="31" t="s">
        <v>389</v>
      </c>
      <c r="D32" s="31" t="str">
        <f>Source!DF28</f>
        <v>)*1,25</v>
      </c>
    </row>
    <row r="33" spans="3:4" ht="12.75">
      <c r="C33" s="31" t="s">
        <v>390</v>
      </c>
      <c r="D33" s="31" t="str">
        <f>Source!DG28</f>
        <v>)*1,15</v>
      </c>
    </row>
    <row r="34" spans="3:7" ht="12.75">
      <c r="C34" s="35" t="s">
        <v>396</v>
      </c>
      <c r="D34" s="4">
        <f>Source!AT28</f>
        <v>128</v>
      </c>
      <c r="E34" s="4"/>
      <c r="F34" s="4"/>
      <c r="G34" s="36">
        <f>Source!X28</f>
        <v>2.24</v>
      </c>
    </row>
    <row r="35" spans="3:7" ht="12.75">
      <c r="C35" s="35" t="s">
        <v>397</v>
      </c>
      <c r="D35" s="4">
        <f>Source!AU28</f>
        <v>83</v>
      </c>
      <c r="E35" s="4"/>
      <c r="F35" s="4"/>
      <c r="G35" s="36">
        <f>Source!Y28</f>
        <v>1.45</v>
      </c>
    </row>
    <row r="37" spans="1:13" ht="48">
      <c r="A37" s="26" t="str">
        <f>Source!E29</f>
        <v>2</v>
      </c>
      <c r="B37" s="26" t="str">
        <f>Source!F29</f>
        <v>16-02-003-2</v>
      </c>
      <c r="C37" s="27" t="str">
        <f>Source!G29</f>
        <v>Прокладка трубопроводов газоснабжения из стальных водогазопроводных неоцинкованных труб диаметром 20 мм</v>
      </c>
      <c r="D37" s="5">
        <f>Source!I29</f>
        <v>0.05</v>
      </c>
      <c r="E37" s="29">
        <f>Source!AB29</f>
        <v>5025.760499999999</v>
      </c>
      <c r="F37" s="29">
        <f>Source!AD29</f>
        <v>60.625</v>
      </c>
      <c r="G37" s="6">
        <f>Source!O29</f>
        <v>251.29</v>
      </c>
      <c r="H37" s="6">
        <f>Source!S29</f>
        <v>17.08</v>
      </c>
      <c r="I37" s="30">
        <f>Source!Q29</f>
        <v>3.03</v>
      </c>
      <c r="J37" s="29">
        <f>Source!AH29</f>
        <v>30.91</v>
      </c>
      <c r="K37" s="30">
        <f>Source!U29</f>
        <v>1.55</v>
      </c>
      <c r="L37" t="s">
        <v>417</v>
      </c>
      <c r="M37">
        <v>947.39</v>
      </c>
    </row>
    <row r="38" spans="3:11" ht="12.75">
      <c r="C38" s="28" t="str">
        <f>Source!H29</f>
        <v>100 м</v>
      </c>
      <c r="D38" s="5"/>
      <c r="E38" s="5">
        <f>Source!AF29</f>
        <v>341.60749999999996</v>
      </c>
      <c r="F38" s="5">
        <f>Source!AE29</f>
        <v>8.7125</v>
      </c>
      <c r="G38" s="6"/>
      <c r="H38" s="6"/>
      <c r="I38" s="6">
        <f>Source!R29</f>
        <v>0.44</v>
      </c>
      <c r="J38" s="5">
        <f>Source!AI29</f>
        <v>0.59</v>
      </c>
      <c r="K38" s="6">
        <f>Source!V29</f>
        <v>0.03</v>
      </c>
    </row>
    <row r="39" spans="3:4" ht="12.75">
      <c r="C39" s="31" t="s">
        <v>387</v>
      </c>
      <c r="D39" s="32" t="str">
        <f>Source!BO29</f>
        <v>16-02-003-2</v>
      </c>
    </row>
    <row r="40" spans="3:4" ht="22.5">
      <c r="C40" s="31" t="s">
        <v>388</v>
      </c>
      <c r="D40" s="31" t="str">
        <f>Source!DE29</f>
        <v>)*1,25</v>
      </c>
    </row>
    <row r="41" spans="3:4" ht="12.75">
      <c r="C41" s="31" t="s">
        <v>389</v>
      </c>
      <c r="D41" s="31" t="str">
        <f>Source!DF29</f>
        <v>)*1,25</v>
      </c>
    </row>
    <row r="42" spans="3:4" ht="12.75">
      <c r="C42" s="31" t="s">
        <v>390</v>
      </c>
      <c r="D42" s="31" t="str">
        <f>Source!DG29</f>
        <v>)*1,15</v>
      </c>
    </row>
    <row r="43" spans="3:7" ht="12.75">
      <c r="C43" s="35" t="s">
        <v>396</v>
      </c>
      <c r="D43" s="4">
        <f>Source!AT29</f>
        <v>128</v>
      </c>
      <c r="E43" s="4"/>
      <c r="F43" s="4"/>
      <c r="G43" s="36">
        <f>Source!X29</f>
        <v>22.43</v>
      </c>
    </row>
    <row r="44" spans="3:7" ht="12.75">
      <c r="C44" s="35" t="s">
        <v>397</v>
      </c>
      <c r="D44" s="4">
        <f>Source!AU29</f>
        <v>83</v>
      </c>
      <c r="E44" s="4"/>
      <c r="F44" s="4"/>
      <c r="G44" s="36">
        <f>Source!Y29</f>
        <v>14.54</v>
      </c>
    </row>
    <row r="46" spans="1:11" ht="48">
      <c r="A46" s="26" t="str">
        <f>Source!E30</f>
        <v>3</v>
      </c>
      <c r="B46" s="26" t="str">
        <f>Source!F30</f>
        <v>16-02-003-3</v>
      </c>
      <c r="C46" s="27" t="str">
        <f>Source!G30</f>
        <v>Прокладка трубопроводов газоснабжения из стальных водогазопроводных неоцинкованных труб диаметром 25 мм</v>
      </c>
      <c r="D46" s="5">
        <f>Source!I30</f>
        <v>0.06</v>
      </c>
      <c r="E46" s="29">
        <f>Source!AB30</f>
        <v>5199.094499999999</v>
      </c>
      <c r="F46" s="29">
        <f>Source!AD30</f>
        <v>60.625</v>
      </c>
      <c r="G46" s="6">
        <f>Source!O30</f>
        <v>311.95</v>
      </c>
      <c r="H46" s="6">
        <f>Source!S30</f>
        <v>20.5</v>
      </c>
      <c r="I46" s="30">
        <f>Source!Q30</f>
        <v>3.64</v>
      </c>
      <c r="J46" s="29">
        <f>Source!AH30</f>
        <v>30.91</v>
      </c>
      <c r="K46" s="30">
        <f>Source!U30</f>
        <v>1.85</v>
      </c>
    </row>
    <row r="47" spans="3:11" ht="12.75">
      <c r="C47" s="28" t="str">
        <f>Source!H30</f>
        <v>100 м</v>
      </c>
      <c r="D47" s="5"/>
      <c r="E47" s="5">
        <f>Source!AF30</f>
        <v>341.60749999999996</v>
      </c>
      <c r="F47" s="5">
        <f>Source!AE30</f>
        <v>8.7125</v>
      </c>
      <c r="G47" s="6"/>
      <c r="H47" s="6"/>
      <c r="I47" s="6">
        <f>Source!R30</f>
        <v>0.52</v>
      </c>
      <c r="J47" s="5">
        <f>Source!AI30</f>
        <v>0.59</v>
      </c>
      <c r="K47" s="6">
        <f>Source!V30</f>
        <v>0.04</v>
      </c>
    </row>
    <row r="48" spans="3:4" ht="12.75">
      <c r="C48" s="31" t="s">
        <v>387</v>
      </c>
      <c r="D48" s="32" t="str">
        <f>Source!BO30</f>
        <v>16-02-003-3</v>
      </c>
    </row>
    <row r="49" spans="3:4" ht="22.5">
      <c r="C49" s="31" t="s">
        <v>388</v>
      </c>
      <c r="D49" s="31" t="str">
        <f>Source!DE30</f>
        <v>)*1,25</v>
      </c>
    </row>
    <row r="50" spans="3:4" ht="12.75">
      <c r="C50" s="31" t="s">
        <v>389</v>
      </c>
      <c r="D50" s="31" t="str">
        <f>Source!DF30</f>
        <v>)*1,25</v>
      </c>
    </row>
    <row r="51" spans="3:4" ht="12.75">
      <c r="C51" s="31" t="s">
        <v>390</v>
      </c>
      <c r="D51" s="31" t="str">
        <f>Source!DG30</f>
        <v>)*1,15</v>
      </c>
    </row>
    <row r="52" spans="3:7" ht="12.75">
      <c r="C52" s="35" t="s">
        <v>396</v>
      </c>
      <c r="D52" s="4">
        <f>Source!AT30</f>
        <v>128</v>
      </c>
      <c r="E52" s="4"/>
      <c r="F52" s="4"/>
      <c r="G52" s="36">
        <f>Source!X30</f>
        <v>26.91</v>
      </c>
    </row>
    <row r="53" spans="3:7" ht="12.75">
      <c r="C53" s="35" t="s">
        <v>397</v>
      </c>
      <c r="D53" s="4">
        <f>Source!AU30</f>
        <v>83</v>
      </c>
      <c r="E53" s="4"/>
      <c r="F53" s="4"/>
      <c r="G53" s="36">
        <f>Source!Y30</f>
        <v>17.45</v>
      </c>
    </row>
    <row r="55" spans="1:11" ht="48">
      <c r="A55" s="26" t="str">
        <f>Source!E31</f>
        <v>4</v>
      </c>
      <c r="B55" s="26" t="str">
        <f>Source!F31</f>
        <v>16-02-005-5</v>
      </c>
      <c r="C55" s="27" t="str">
        <f>Source!G31</f>
        <v>Прокладка трубопроводов отопления и водоснабжения из стальных электросварных труб диаметром 100 мм</v>
      </c>
      <c r="D55" s="5">
        <f>Source!I31</f>
        <v>0.08</v>
      </c>
      <c r="E55" s="29">
        <f>Source!AB31</f>
        <v>19449.5285</v>
      </c>
      <c r="F55" s="29">
        <f>Source!AD31</f>
        <v>199.46249999999998</v>
      </c>
      <c r="G55" s="6">
        <f>Source!O31</f>
        <v>1555.97</v>
      </c>
      <c r="H55" s="6">
        <f>Source!S31</f>
        <v>71.61</v>
      </c>
      <c r="I55" s="30">
        <f>Source!Q31</f>
        <v>15.96</v>
      </c>
      <c r="J55" s="29">
        <f>Source!AH31</f>
        <v>79.75</v>
      </c>
      <c r="K55" s="30">
        <f>Source!U31</f>
        <v>6.38</v>
      </c>
    </row>
    <row r="56" spans="3:11" ht="12.75">
      <c r="C56" s="28" t="str">
        <f>Source!H31</f>
        <v>100 м</v>
      </c>
      <c r="D56" s="5"/>
      <c r="E56" s="5">
        <f>Source!AF31</f>
        <v>895.1139999999999</v>
      </c>
      <c r="F56" s="5">
        <f>Source!AE31</f>
        <v>26.125</v>
      </c>
      <c r="G56" s="6"/>
      <c r="H56" s="6"/>
      <c r="I56" s="6">
        <f>Source!R31</f>
        <v>2.09</v>
      </c>
      <c r="J56" s="5">
        <f>Source!AI31</f>
        <v>1.77</v>
      </c>
      <c r="K56" s="6">
        <f>Source!V31</f>
        <v>0.14</v>
      </c>
    </row>
    <row r="57" spans="3:4" ht="12.75">
      <c r="C57" s="31" t="s">
        <v>387</v>
      </c>
      <c r="D57" s="32" t="str">
        <f>Source!BO31</f>
        <v>16-02-005-5</v>
      </c>
    </row>
    <row r="58" spans="3:4" ht="22.5">
      <c r="C58" s="31" t="s">
        <v>388</v>
      </c>
      <c r="D58" s="31" t="str">
        <f>Source!DE31</f>
        <v>)*1,25</v>
      </c>
    </row>
    <row r="59" spans="3:4" ht="12.75">
      <c r="C59" s="31" t="s">
        <v>389</v>
      </c>
      <c r="D59" s="31" t="str">
        <f>Source!DF31</f>
        <v>)*1,25</v>
      </c>
    </row>
    <row r="60" spans="3:4" ht="12.75">
      <c r="C60" s="31" t="s">
        <v>390</v>
      </c>
      <c r="D60" s="31" t="str">
        <f>Source!DG31</f>
        <v>)*1,15</v>
      </c>
    </row>
    <row r="61" spans="3:7" ht="12.75">
      <c r="C61" s="35" t="s">
        <v>396</v>
      </c>
      <c r="D61" s="4">
        <f>Source!AT31</f>
        <v>128</v>
      </c>
      <c r="E61" s="4"/>
      <c r="F61" s="4"/>
      <c r="G61" s="36">
        <f>Source!X31</f>
        <v>94.34</v>
      </c>
    </row>
    <row r="62" spans="3:7" ht="12.75">
      <c r="C62" s="35" t="s">
        <v>397</v>
      </c>
      <c r="D62" s="4">
        <f>Source!AU31</f>
        <v>83</v>
      </c>
      <c r="E62" s="4"/>
      <c r="F62" s="4"/>
      <c r="G62" s="36">
        <f>Source!Y31</f>
        <v>61.17</v>
      </c>
    </row>
    <row r="64" spans="1:11" ht="36">
      <c r="A64" s="26" t="str">
        <f>Source!E32</f>
        <v>5</v>
      </c>
      <c r="B64" s="26" t="str">
        <f>Source!F32</f>
        <v>16-02-005-2</v>
      </c>
      <c r="C64" s="27" t="str">
        <f>Source!G32</f>
        <v>Прокладка трубопроводов отопления и водоснабжения из стальных электросварных труб диаметром 50 мм</v>
      </c>
      <c r="D64" s="5">
        <f>Source!I32</f>
        <v>0.1</v>
      </c>
      <c r="E64" s="29">
        <f>Source!AB32</f>
        <v>8712.133499999998</v>
      </c>
      <c r="F64" s="29">
        <f>Source!AD32</f>
        <v>114.5625</v>
      </c>
      <c r="G64" s="6">
        <f>Source!O32</f>
        <v>871.22</v>
      </c>
      <c r="H64" s="6">
        <f>Source!S32</f>
        <v>68.28</v>
      </c>
      <c r="I64" s="30">
        <f>Source!Q32</f>
        <v>11.46</v>
      </c>
      <c r="J64" s="29">
        <f>Source!AH32</f>
        <v>60.83</v>
      </c>
      <c r="K64" s="30">
        <f>Source!U32</f>
        <v>6.08</v>
      </c>
    </row>
    <row r="65" spans="3:11" ht="12.75">
      <c r="C65" s="28" t="str">
        <f>Source!H32</f>
        <v>100 м</v>
      </c>
      <c r="D65" s="5"/>
      <c r="E65" s="5">
        <f>Source!AF32</f>
        <v>682.755</v>
      </c>
      <c r="F65" s="5">
        <f>Source!AE32</f>
        <v>15.649999999999999</v>
      </c>
      <c r="G65" s="6"/>
      <c r="H65" s="6"/>
      <c r="I65" s="6">
        <f>Source!R32</f>
        <v>1.57</v>
      </c>
      <c r="J65" s="5">
        <f>Source!AI32</f>
        <v>1.06</v>
      </c>
      <c r="K65" s="6">
        <f>Source!V32</f>
        <v>0.11</v>
      </c>
    </row>
    <row r="66" spans="3:4" ht="12.75">
      <c r="C66" s="31" t="s">
        <v>387</v>
      </c>
      <c r="D66" s="32" t="str">
        <f>Source!BO32</f>
        <v>16-02-005-2</v>
      </c>
    </row>
    <row r="67" spans="3:4" ht="22.5">
      <c r="C67" s="31" t="s">
        <v>388</v>
      </c>
      <c r="D67" s="31" t="str">
        <f>Source!DE32</f>
        <v>)*1,25</v>
      </c>
    </row>
    <row r="68" spans="3:4" ht="12.75">
      <c r="C68" s="31" t="s">
        <v>389</v>
      </c>
      <c r="D68" s="31" t="str">
        <f>Source!DF32</f>
        <v>)*1,25</v>
      </c>
    </row>
    <row r="69" spans="3:4" ht="12.75">
      <c r="C69" s="31" t="s">
        <v>390</v>
      </c>
      <c r="D69" s="31" t="str">
        <f>Source!DG32</f>
        <v>)*1,15</v>
      </c>
    </row>
    <row r="70" spans="3:7" ht="12.75">
      <c r="C70" s="35" t="s">
        <v>396</v>
      </c>
      <c r="D70" s="4">
        <f>Source!AT32</f>
        <v>128</v>
      </c>
      <c r="E70" s="4"/>
      <c r="F70" s="4"/>
      <c r="G70" s="36">
        <f>Source!X32</f>
        <v>89.41</v>
      </c>
    </row>
    <row r="71" spans="3:7" ht="12.75">
      <c r="C71" s="35" t="s">
        <v>397</v>
      </c>
      <c r="D71" s="4">
        <f>Source!AU32</f>
        <v>83</v>
      </c>
      <c r="E71" s="4"/>
      <c r="F71" s="4"/>
      <c r="G71" s="36">
        <f>Source!Y32</f>
        <v>57.98</v>
      </c>
    </row>
    <row r="73" spans="1:11" ht="24">
      <c r="A73" s="26" t="str">
        <f>Source!E33</f>
        <v>6</v>
      </c>
      <c r="B73" s="26" t="str">
        <f>Source!F33</f>
        <v>19-01-015-1</v>
      </c>
      <c r="C73" s="27" t="str">
        <f>Source!G33</f>
        <v>Пневматическое испытание газопроводов</v>
      </c>
      <c r="D73" s="5">
        <f>Source!I33</f>
        <v>0.295</v>
      </c>
      <c r="E73" s="29">
        <f>Source!AB33</f>
        <v>514.9575</v>
      </c>
      <c r="F73" s="29">
        <f>Source!AD33</f>
        <v>0</v>
      </c>
      <c r="G73" s="6">
        <f>Source!O33</f>
        <v>151.92</v>
      </c>
      <c r="H73" s="6">
        <f>Source!S33</f>
        <v>133.32</v>
      </c>
      <c r="I73" s="30">
        <f>Source!Q33</f>
        <v>0</v>
      </c>
      <c r="J73" s="29">
        <f>Source!AH33</f>
        <v>34.9</v>
      </c>
      <c r="K73" s="30">
        <f>Source!U33</f>
        <v>10.3</v>
      </c>
    </row>
    <row r="74" spans="3:11" ht="12.75">
      <c r="C74" s="28" t="str">
        <f>Source!H33</f>
        <v>100 м</v>
      </c>
      <c r="D74" s="5"/>
      <c r="E74" s="5">
        <f>Source!AF33</f>
        <v>451.9155</v>
      </c>
      <c r="F74" s="5">
        <f>Source!AE33</f>
        <v>0</v>
      </c>
      <c r="G74" s="6"/>
      <c r="H74" s="6"/>
      <c r="I74" s="6">
        <f>Source!R33</f>
        <v>0</v>
      </c>
      <c r="J74" s="5">
        <f>Source!AI33</f>
        <v>0</v>
      </c>
      <c r="K74" s="6">
        <f>Source!V33</f>
        <v>0</v>
      </c>
    </row>
    <row r="75" spans="3:4" ht="12.75">
      <c r="C75" s="31" t="s">
        <v>387</v>
      </c>
      <c r="D75" s="32" t="str">
        <f>Source!BO33</f>
        <v>19-01-015-1</v>
      </c>
    </row>
    <row r="76" spans="3:4" ht="22.5">
      <c r="C76" s="31" t="s">
        <v>388</v>
      </c>
      <c r="D76" s="31" t="str">
        <f>Source!DE33</f>
        <v>)*1,25</v>
      </c>
    </row>
    <row r="77" spans="3:4" ht="12.75">
      <c r="C77" s="31" t="s">
        <v>389</v>
      </c>
      <c r="D77" s="31" t="str">
        <f>Source!DF33</f>
        <v>)*1,25</v>
      </c>
    </row>
    <row r="78" spans="3:4" ht="12.75">
      <c r="C78" s="31" t="s">
        <v>390</v>
      </c>
      <c r="D78" s="31" t="str">
        <f>Source!DG33</f>
        <v>)*1,15</v>
      </c>
    </row>
    <row r="79" spans="3:7" ht="12.75">
      <c r="C79" s="35" t="s">
        <v>396</v>
      </c>
      <c r="D79" s="4">
        <f>Source!AT33</f>
        <v>128</v>
      </c>
      <c r="E79" s="4"/>
      <c r="F79" s="4"/>
      <c r="G79" s="36">
        <f>Source!X33</f>
        <v>170.65</v>
      </c>
    </row>
    <row r="80" spans="3:7" ht="12.75">
      <c r="C80" s="35" t="s">
        <v>397</v>
      </c>
      <c r="D80" s="4">
        <f>Source!AU33</f>
        <v>83</v>
      </c>
      <c r="E80" s="4"/>
      <c r="F80" s="4"/>
      <c r="G80" s="36">
        <f>Source!Y33</f>
        <v>110.66</v>
      </c>
    </row>
    <row r="82" spans="1:11" ht="48">
      <c r="A82" s="26" t="str">
        <f>Source!E34</f>
        <v>7</v>
      </c>
      <c r="B82" s="26" t="str">
        <f>Source!F34</f>
        <v>16-05-001-1</v>
      </c>
      <c r="C82" s="27" t="str">
        <f>Source!G34</f>
        <v>Установка вентилей, задвижек, затворов, клапанов обратных, кранов проходных на трубопроводах из стальных труб диаметром до 25 мм</v>
      </c>
      <c r="D82" s="5">
        <f>Source!I34</f>
        <v>5</v>
      </c>
      <c r="E82" s="29">
        <f>Source!AB34</f>
        <v>80.0295</v>
      </c>
      <c r="F82" s="29">
        <f>Source!AD34</f>
        <v>2.05</v>
      </c>
      <c r="G82" s="6">
        <f>Source!O34</f>
        <v>400.15</v>
      </c>
      <c r="H82" s="6">
        <f>Source!S34</f>
        <v>76.65</v>
      </c>
      <c r="I82" s="30">
        <f>Source!Q34</f>
        <v>10.25</v>
      </c>
      <c r="J82" s="29">
        <f>Source!AH34</f>
        <v>1.47</v>
      </c>
      <c r="K82" s="30">
        <f>Source!U34</f>
        <v>7.35</v>
      </c>
    </row>
    <row r="83" spans="3:11" ht="12.75">
      <c r="C83" s="28" t="str">
        <f>Source!H34</f>
        <v>шт.</v>
      </c>
      <c r="D83" s="5"/>
      <c r="E83" s="5">
        <f>Source!AF34</f>
        <v>15.3295</v>
      </c>
      <c r="F83" s="5">
        <f>Source!AE34</f>
        <v>0.15</v>
      </c>
      <c r="G83" s="6"/>
      <c r="H83" s="6"/>
      <c r="I83" s="6">
        <f>Source!R34</f>
        <v>0.75</v>
      </c>
      <c r="J83" s="5">
        <f>Source!AI34</f>
        <v>0.01</v>
      </c>
      <c r="K83" s="6">
        <f>Source!V34</f>
        <v>0.05</v>
      </c>
    </row>
    <row r="84" spans="3:4" ht="12.75">
      <c r="C84" s="31" t="s">
        <v>387</v>
      </c>
      <c r="D84" s="32" t="str">
        <f>Source!BO34</f>
        <v>16-05-001-1</v>
      </c>
    </row>
    <row r="85" spans="3:4" ht="22.5">
      <c r="C85" s="31" t="s">
        <v>388</v>
      </c>
      <c r="D85" s="31" t="str">
        <f>Source!DE34</f>
        <v>)*1,25</v>
      </c>
    </row>
    <row r="86" spans="3:4" ht="12.75">
      <c r="C86" s="31" t="s">
        <v>389</v>
      </c>
      <c r="D86" s="31" t="str">
        <f>Source!DF34</f>
        <v>)*1,25</v>
      </c>
    </row>
    <row r="87" spans="3:4" ht="12.75">
      <c r="C87" s="31" t="s">
        <v>390</v>
      </c>
      <c r="D87" s="31" t="str">
        <f>Source!DG34</f>
        <v>)*1,15</v>
      </c>
    </row>
    <row r="88" spans="3:7" ht="12.75">
      <c r="C88" s="35" t="s">
        <v>396</v>
      </c>
      <c r="D88" s="4">
        <f>Source!AT34</f>
        <v>128</v>
      </c>
      <c r="E88" s="4"/>
      <c r="F88" s="4"/>
      <c r="G88" s="36">
        <f>Source!X34</f>
        <v>99.07</v>
      </c>
    </row>
    <row r="89" spans="3:7" ht="12.75">
      <c r="C89" s="35" t="s">
        <v>397</v>
      </c>
      <c r="D89" s="4">
        <f>Source!AU34</f>
        <v>83</v>
      </c>
      <c r="E89" s="4"/>
      <c r="F89" s="4"/>
      <c r="G89" s="36">
        <f>Source!Y34</f>
        <v>64.24</v>
      </c>
    </row>
    <row r="91" spans="1:11" ht="48">
      <c r="A91" s="26" t="str">
        <f>Source!E35</f>
        <v>7,1</v>
      </c>
      <c r="B91" s="26">
        <f>Source!F35</f>
        <v>0</v>
      </c>
      <c r="C91" s="27" t="str">
        <f>Source!G35</f>
        <v>Краны проходные натяжные муфтовые латунные 11б12бк1 для газа давлением 9,8 кПа (0,1 кгс/см2), диаметром 15,25 мм</v>
      </c>
      <c r="D91" s="5">
        <f>Source!I35</f>
        <v>2</v>
      </c>
      <c r="E91" s="29">
        <f>Source!AB35</f>
        <v>23.799999999999997</v>
      </c>
      <c r="F91" s="29">
        <f>Source!AD35</f>
        <v>0</v>
      </c>
      <c r="G91" s="6">
        <f>Source!O35</f>
        <v>47.6</v>
      </c>
      <c r="H91" s="6"/>
      <c r="I91" s="30">
        <f>Source!Q35</f>
        <v>0</v>
      </c>
      <c r="J91" s="29">
        <f>Source!AH35</f>
        <v>0</v>
      </c>
      <c r="K91" s="30">
        <f>Source!U35</f>
        <v>0</v>
      </c>
    </row>
    <row r="92" spans="3:11" ht="12.75">
      <c r="C92" s="28" t="str">
        <f>Source!H35</f>
        <v>ШТ</v>
      </c>
      <c r="D92" s="5"/>
      <c r="E92" s="5">
        <f>Source!AF35</f>
        <v>0</v>
      </c>
      <c r="F92" s="5">
        <f>Source!AE35</f>
        <v>0</v>
      </c>
      <c r="G92" s="6"/>
      <c r="H92" s="6"/>
      <c r="I92" s="6">
        <f>Source!R35</f>
        <v>0</v>
      </c>
      <c r="J92" s="5">
        <f>Source!AI35</f>
        <v>0</v>
      </c>
      <c r="K92" s="6">
        <f>Source!V35</f>
        <v>0</v>
      </c>
    </row>
    <row r="93" spans="3:4" ht="22.5">
      <c r="C93" s="31" t="s">
        <v>388</v>
      </c>
      <c r="D93" s="31" t="str">
        <f>Source!DE35</f>
        <v>)*1,25</v>
      </c>
    </row>
    <row r="94" spans="3:4" ht="12.75">
      <c r="C94" s="31" t="s">
        <v>389</v>
      </c>
      <c r="D94" s="31" t="str">
        <f>Source!DF35</f>
        <v>)*1,25</v>
      </c>
    </row>
    <row r="95" spans="3:4" ht="12.75">
      <c r="C95" s="31" t="s">
        <v>390</v>
      </c>
      <c r="D95" s="31" t="str">
        <f>Source!DG35</f>
        <v>)*1,15</v>
      </c>
    </row>
    <row r="96" spans="1:11" ht="36">
      <c r="A96" s="26" t="str">
        <f>Source!E36</f>
        <v>7,2</v>
      </c>
      <c r="B96" s="26">
        <f>Source!F36</f>
        <v>0</v>
      </c>
      <c r="C96" s="27" t="str">
        <f>Source!G36</f>
        <v>Краны проходные натяжные муфтовые 11Ч3БК для газа, давлением 0,1 МПа (1 кгс/см2), диаметром 25 мм</v>
      </c>
      <c r="D96" s="5">
        <f>Source!I36</f>
        <v>3</v>
      </c>
      <c r="E96" s="29">
        <f>Source!AB36</f>
        <v>75.39</v>
      </c>
      <c r="F96" s="29">
        <f>Source!AD36</f>
        <v>0</v>
      </c>
      <c r="G96" s="6">
        <f>Source!O36</f>
        <v>226.17</v>
      </c>
      <c r="H96" s="6">
        <f>Source!S36</f>
        <v>0</v>
      </c>
      <c r="I96" s="30">
        <f>Source!Q36</f>
        <v>0</v>
      </c>
      <c r="J96" s="29">
        <f>Source!AH36</f>
        <v>0</v>
      </c>
      <c r="K96" s="30">
        <f>Source!U36</f>
        <v>0</v>
      </c>
    </row>
    <row r="97" spans="3:11" ht="12.75">
      <c r="C97" s="28" t="str">
        <f>Source!H36</f>
        <v>ШТ</v>
      </c>
      <c r="D97" s="5"/>
      <c r="E97" s="5">
        <f>Source!AF36</f>
        <v>0</v>
      </c>
      <c r="F97" s="5">
        <f>Source!AE36</f>
        <v>0</v>
      </c>
      <c r="G97" s="6"/>
      <c r="H97" s="6"/>
      <c r="I97" s="6">
        <f>Source!R36</f>
        <v>0</v>
      </c>
      <c r="J97" s="5">
        <f>Source!AI36</f>
        <v>0</v>
      </c>
      <c r="K97" s="6">
        <f>Source!V36</f>
        <v>0</v>
      </c>
    </row>
    <row r="98" spans="3:4" ht="22.5">
      <c r="C98" s="31" t="s">
        <v>388</v>
      </c>
      <c r="D98" s="31" t="str">
        <f>Source!DE36</f>
        <v>)*1,25</v>
      </c>
    </row>
    <row r="99" spans="3:4" ht="12.75">
      <c r="C99" s="31" t="s">
        <v>389</v>
      </c>
      <c r="D99" s="31" t="str">
        <f>Source!DF36</f>
        <v>)*1,25</v>
      </c>
    </row>
    <row r="100" spans="3:4" ht="12.75">
      <c r="C100" s="31" t="s">
        <v>390</v>
      </c>
      <c r="D100" s="31" t="str">
        <f>Source!DG36</f>
        <v>)*1,15</v>
      </c>
    </row>
    <row r="101" spans="1:11" ht="24">
      <c r="A101" s="26" t="str">
        <f>Source!E37</f>
        <v>7,3</v>
      </c>
      <c r="B101" s="26">
        <f>Source!F37</f>
        <v>0</v>
      </c>
      <c r="C101" s="27" t="str">
        <f>Source!G37</f>
        <v>Крепления для трубопроводов: кронштейны, планки, хомуты</v>
      </c>
      <c r="D101" s="5">
        <f>Source!I37</f>
        <v>48</v>
      </c>
      <c r="E101" s="29">
        <f>Source!AB37</f>
        <v>19.837999999999997</v>
      </c>
      <c r="F101" s="29">
        <f>Source!AD37</f>
        <v>0</v>
      </c>
      <c r="G101" s="6">
        <f>Source!O37</f>
        <v>952.22</v>
      </c>
      <c r="H101" s="6"/>
      <c r="I101" s="30">
        <f>Source!Q37</f>
        <v>0</v>
      </c>
      <c r="J101" s="29">
        <f>Source!AH37</f>
        <v>0</v>
      </c>
      <c r="K101" s="30">
        <f>Source!U37</f>
        <v>0</v>
      </c>
    </row>
    <row r="102" spans="3:11" ht="12.75">
      <c r="C102" s="28" t="str">
        <f>Source!H37</f>
        <v>ШТ</v>
      </c>
      <c r="D102" s="5"/>
      <c r="E102" s="5">
        <f>Source!AF37</f>
        <v>0</v>
      </c>
      <c r="F102" s="5">
        <f>Source!AE37</f>
        <v>0</v>
      </c>
      <c r="G102" s="6"/>
      <c r="H102" s="6"/>
      <c r="I102" s="6">
        <f>Source!R37</f>
        <v>0</v>
      </c>
      <c r="J102" s="5">
        <f>Source!AI37</f>
        <v>0</v>
      </c>
      <c r="K102" s="6">
        <f>Source!V37</f>
        <v>0</v>
      </c>
    </row>
    <row r="103" spans="3:4" ht="22.5">
      <c r="C103" s="31" t="s">
        <v>388</v>
      </c>
      <c r="D103" s="31" t="str">
        <f>Source!DE37</f>
        <v>)*1,25</v>
      </c>
    </row>
    <row r="104" spans="3:4" ht="12.75">
      <c r="C104" s="31" t="s">
        <v>389</v>
      </c>
      <c r="D104" s="31" t="str">
        <f>Source!DF37</f>
        <v>)*1,25</v>
      </c>
    </row>
    <row r="105" spans="3:4" ht="12.75">
      <c r="C105" s="31" t="s">
        <v>390</v>
      </c>
      <c r="D105" s="31" t="str">
        <f>Source!DG37</f>
        <v>)*1,15</v>
      </c>
    </row>
    <row r="106" spans="1:11" ht="48">
      <c r="A106" s="26" t="str">
        <f>Source!E38</f>
        <v>8</v>
      </c>
      <c r="B106" s="26" t="str">
        <f>Source!F38</f>
        <v>16-02-003-6</v>
      </c>
      <c r="C106" s="27" t="str">
        <f>Source!G38</f>
        <v>Прокладка трубопроводов газоснабжения из стальных водогазопроводных неоцинкованных труб диаметром 50 мм</v>
      </c>
      <c r="D106" s="5">
        <f>Source!I38</f>
        <v>0.004</v>
      </c>
      <c r="E106" s="29">
        <f>Source!AB38</f>
        <v>8841.01</v>
      </c>
      <c r="F106" s="29">
        <f>Source!AD38</f>
        <v>105.71249999999999</v>
      </c>
      <c r="G106" s="6">
        <f>Source!O38</f>
        <v>35.36</v>
      </c>
      <c r="H106" s="6">
        <f>Source!S38</f>
        <v>1.73</v>
      </c>
      <c r="I106" s="30">
        <f>Source!Q38</f>
        <v>0.42</v>
      </c>
      <c r="J106" s="29">
        <f>Source!AH38</f>
        <v>39.16</v>
      </c>
      <c r="K106" s="30">
        <f>Source!U38</f>
        <v>0.16</v>
      </c>
    </row>
    <row r="107" spans="3:11" ht="12.75">
      <c r="C107" s="28" t="str">
        <f>Source!H38</f>
        <v>100 м</v>
      </c>
      <c r="D107" s="5"/>
      <c r="E107" s="5">
        <f>Source!AF38</f>
        <v>432.7794999999999</v>
      </c>
      <c r="F107" s="5">
        <f>Source!AE38</f>
        <v>15.649999999999999</v>
      </c>
      <c r="G107" s="6"/>
      <c r="H107" s="6"/>
      <c r="I107" s="6">
        <f>Source!R38</f>
        <v>0.06</v>
      </c>
      <c r="J107" s="5">
        <f>Source!AI38</f>
        <v>1.06</v>
      </c>
      <c r="K107" s="6">
        <f>Source!V38</f>
        <v>0</v>
      </c>
    </row>
    <row r="108" spans="3:4" ht="12.75">
      <c r="C108" s="31" t="s">
        <v>387</v>
      </c>
      <c r="D108" s="32" t="str">
        <f>Source!BO38</f>
        <v>16-02-003-6</v>
      </c>
    </row>
    <row r="109" spans="3:4" ht="22.5">
      <c r="C109" s="31" t="s">
        <v>388</v>
      </c>
      <c r="D109" s="31" t="str">
        <f>Source!DE38</f>
        <v>)*1,25</v>
      </c>
    </row>
    <row r="110" spans="3:4" ht="12.75">
      <c r="C110" s="31" t="s">
        <v>389</v>
      </c>
      <c r="D110" s="31" t="str">
        <f>Source!DF38</f>
        <v>)*1,25</v>
      </c>
    </row>
    <row r="111" spans="3:4" ht="12.75">
      <c r="C111" s="31" t="s">
        <v>390</v>
      </c>
      <c r="D111" s="31" t="str">
        <f>Source!DG38</f>
        <v>)*1,15</v>
      </c>
    </row>
    <row r="112" spans="3:7" ht="12.75">
      <c r="C112" s="35" t="s">
        <v>396</v>
      </c>
      <c r="D112" s="4">
        <f>Source!AT38</f>
        <v>128</v>
      </c>
      <c r="E112" s="4"/>
      <c r="F112" s="4"/>
      <c r="G112" s="36">
        <f>Source!X38</f>
        <v>2.29</v>
      </c>
    </row>
    <row r="113" spans="3:7" ht="12.75">
      <c r="C113" s="35" t="s">
        <v>397</v>
      </c>
      <c r="D113" s="4">
        <f>Source!AU38</f>
        <v>83</v>
      </c>
      <c r="E113" s="4"/>
      <c r="F113" s="4"/>
      <c r="G113" s="36">
        <f>Source!Y38</f>
        <v>1.49</v>
      </c>
    </row>
    <row r="115" spans="1:11" ht="48">
      <c r="A115" s="26" t="str">
        <f>Source!E39</f>
        <v>9</v>
      </c>
      <c r="B115" s="26" t="str">
        <f>Source!F39</f>
        <v>16-02-002-10</v>
      </c>
      <c r="C115" s="27" t="str">
        <f>Source!G39</f>
        <v>Прокладка трубопроводов водоснабжения из стальных водогазопроводных оцинкованных труб диаметром 100 мм</v>
      </c>
      <c r="D115" s="5">
        <f>Source!I39</f>
        <v>0.004</v>
      </c>
      <c r="E115" s="29">
        <f>Source!AB39</f>
        <v>22414.565</v>
      </c>
      <c r="F115" s="29">
        <f>Source!AD39</f>
        <v>208.1375</v>
      </c>
      <c r="G115" s="6">
        <f>Source!O39</f>
        <v>89.65</v>
      </c>
      <c r="H115" s="6">
        <f>Source!S39</f>
        <v>3.23</v>
      </c>
      <c r="I115" s="30">
        <f>Source!Q39</f>
        <v>0.83</v>
      </c>
      <c r="J115" s="29">
        <f>Source!AH39</f>
        <v>76.59</v>
      </c>
      <c r="K115" s="30">
        <f>Source!U39</f>
        <v>0.31</v>
      </c>
    </row>
    <row r="116" spans="3:11" ht="12.75">
      <c r="C116" s="28" t="str">
        <f>Source!H39</f>
        <v>100 м</v>
      </c>
      <c r="D116" s="5"/>
      <c r="E116" s="5">
        <f>Source!AF39</f>
        <v>807.6795</v>
      </c>
      <c r="F116" s="5">
        <f>Source!AE39</f>
        <v>32.1875</v>
      </c>
      <c r="G116" s="6"/>
      <c r="H116" s="6"/>
      <c r="I116" s="6">
        <f>Source!R39</f>
        <v>0.13</v>
      </c>
      <c r="J116" s="5">
        <f>Source!AI39</f>
        <v>2.18</v>
      </c>
      <c r="K116" s="6">
        <f>Source!V39</f>
        <v>0.01</v>
      </c>
    </row>
    <row r="117" spans="3:4" ht="12.75">
      <c r="C117" s="31" t="s">
        <v>387</v>
      </c>
      <c r="D117" s="32" t="str">
        <f>Source!BO39</f>
        <v>16-02-002-10</v>
      </c>
    </row>
    <row r="118" spans="3:4" ht="22.5">
      <c r="C118" s="31" t="s">
        <v>388</v>
      </c>
      <c r="D118" s="31" t="str">
        <f>Source!DE39</f>
        <v>)*1,25</v>
      </c>
    </row>
    <row r="119" spans="3:4" ht="12.75">
      <c r="C119" s="31" t="s">
        <v>389</v>
      </c>
      <c r="D119" s="31" t="str">
        <f>Source!DF39</f>
        <v>)*1,25</v>
      </c>
    </row>
    <row r="120" spans="3:4" ht="12.75">
      <c r="C120" s="31" t="s">
        <v>390</v>
      </c>
      <c r="D120" s="31" t="str">
        <f>Source!DG39</f>
        <v>)*1,15</v>
      </c>
    </row>
    <row r="121" spans="3:7" ht="12.75">
      <c r="C121" s="35" t="s">
        <v>396</v>
      </c>
      <c r="D121" s="4">
        <f>Source!AT39</f>
        <v>128</v>
      </c>
      <c r="E121" s="4"/>
      <c r="F121" s="4"/>
      <c r="G121" s="36">
        <f>Source!X39</f>
        <v>4.3</v>
      </c>
    </row>
    <row r="122" spans="3:7" ht="12.75">
      <c r="C122" s="35" t="s">
        <v>397</v>
      </c>
      <c r="D122" s="4">
        <f>Source!AU39</f>
        <v>83</v>
      </c>
      <c r="E122" s="4"/>
      <c r="F122" s="4"/>
      <c r="G122" s="36">
        <f>Source!Y39</f>
        <v>2.79</v>
      </c>
    </row>
    <row r="124" spans="1:11" ht="36">
      <c r="A124" s="26" t="str">
        <f>Source!E40</f>
        <v>10</v>
      </c>
      <c r="B124" s="26" t="str">
        <f>Source!F40</f>
        <v>16-07-006-1</v>
      </c>
      <c r="C124" s="27" t="str">
        <f>Source!G40</f>
        <v>Заделка сальников при проходе труб через фундаменты или стены подвала диаметром до 100 мм</v>
      </c>
      <c r="D124" s="5">
        <f>Source!I40</f>
        <v>2</v>
      </c>
      <c r="E124" s="29">
        <f>Source!AB40</f>
        <v>23.203499999999995</v>
      </c>
      <c r="F124" s="29">
        <f>Source!AD40</f>
        <v>0</v>
      </c>
      <c r="G124" s="6">
        <f>Source!O40</f>
        <v>46.41</v>
      </c>
      <c r="H124" s="6">
        <f>Source!S40</f>
        <v>37.56</v>
      </c>
      <c r="I124" s="30">
        <f>Source!Q40</f>
        <v>0</v>
      </c>
      <c r="J124" s="29">
        <f>Source!AH40</f>
        <v>1.8</v>
      </c>
      <c r="K124" s="30">
        <f>Source!U40</f>
        <v>3.6</v>
      </c>
    </row>
    <row r="125" spans="3:11" ht="12.75">
      <c r="C125" s="28" t="str">
        <f>Source!H40</f>
        <v>шт.</v>
      </c>
      <c r="D125" s="5"/>
      <c r="E125" s="5">
        <f>Source!AF40</f>
        <v>18.779499999999995</v>
      </c>
      <c r="F125" s="5">
        <f>Source!AE40</f>
        <v>0</v>
      </c>
      <c r="G125" s="6"/>
      <c r="H125" s="6"/>
      <c r="I125" s="6">
        <f>Source!R40</f>
        <v>0</v>
      </c>
      <c r="J125" s="5">
        <f>Source!AI40</f>
        <v>0</v>
      </c>
      <c r="K125" s="6">
        <f>Source!V40</f>
        <v>0</v>
      </c>
    </row>
    <row r="126" spans="3:4" ht="12.75">
      <c r="C126" s="31" t="s">
        <v>387</v>
      </c>
      <c r="D126" s="32" t="str">
        <f>Source!BO40</f>
        <v>16-07-006-1</v>
      </c>
    </row>
    <row r="127" spans="3:4" ht="22.5">
      <c r="C127" s="31" t="s">
        <v>388</v>
      </c>
      <c r="D127" s="31" t="str">
        <f>Source!DE40</f>
        <v>)*1,25</v>
      </c>
    </row>
    <row r="128" spans="3:4" ht="12.75">
      <c r="C128" s="31" t="s">
        <v>389</v>
      </c>
      <c r="D128" s="31" t="str">
        <f>Source!DF40</f>
        <v>)*1,25</v>
      </c>
    </row>
    <row r="129" spans="3:4" ht="12.75">
      <c r="C129" s="31" t="s">
        <v>390</v>
      </c>
      <c r="D129" s="31" t="str">
        <f>Source!DG40</f>
        <v>)*1,15</v>
      </c>
    </row>
    <row r="130" spans="3:7" ht="12.75">
      <c r="C130" s="35" t="s">
        <v>396</v>
      </c>
      <c r="D130" s="4">
        <f>Source!AT40</f>
        <v>128</v>
      </c>
      <c r="E130" s="4"/>
      <c r="F130" s="4"/>
      <c r="G130" s="36">
        <f>Source!X40</f>
        <v>48.08</v>
      </c>
    </row>
    <row r="131" spans="3:7" ht="12.75">
      <c r="C131" s="35" t="s">
        <v>397</v>
      </c>
      <c r="D131" s="4">
        <f>Source!AU40</f>
        <v>83</v>
      </c>
      <c r="E131" s="4"/>
      <c r="F131" s="4"/>
      <c r="G131" s="36">
        <f>Source!Y40</f>
        <v>31.17</v>
      </c>
    </row>
    <row r="133" spans="1:11" ht="36">
      <c r="A133" s="26" t="str">
        <f>Source!E41</f>
        <v>11</v>
      </c>
      <c r="B133" s="26" t="str">
        <f>Source!F41</f>
        <v>16-02-007-4</v>
      </c>
      <c r="C133" s="27" t="str">
        <f>Source!G41</f>
        <v>Установка фланцевых соединений на стальных трубопроводах диаметром 100 мм</v>
      </c>
      <c r="D133" s="5">
        <f>Source!I41</f>
        <v>1</v>
      </c>
      <c r="E133" s="29">
        <f>Source!AB41</f>
        <v>24.3095</v>
      </c>
      <c r="F133" s="29">
        <f>Source!AD41</f>
        <v>3.525</v>
      </c>
      <c r="G133" s="6">
        <f>Source!O41</f>
        <v>24.31</v>
      </c>
      <c r="H133" s="6">
        <f>Source!S41</f>
        <v>16.64</v>
      </c>
      <c r="I133" s="30">
        <f>Source!Q41</f>
        <v>3.53</v>
      </c>
      <c r="J133" s="29">
        <f>Source!AH41</f>
        <v>1.46</v>
      </c>
      <c r="K133" s="30">
        <f>Source!U41</f>
        <v>1.46</v>
      </c>
    </row>
    <row r="134" spans="3:11" ht="12.75">
      <c r="C134" s="28" t="str">
        <f>Source!H41</f>
        <v>шт.</v>
      </c>
      <c r="D134" s="5"/>
      <c r="E134" s="5">
        <f>Source!AF41</f>
        <v>16.6405</v>
      </c>
      <c r="F134" s="5">
        <f>Source!AE41</f>
        <v>0.15</v>
      </c>
      <c r="G134" s="6"/>
      <c r="H134" s="6"/>
      <c r="I134" s="6">
        <f>Source!R41</f>
        <v>0.15</v>
      </c>
      <c r="J134" s="5">
        <f>Source!AI41</f>
        <v>0.01</v>
      </c>
      <c r="K134" s="6">
        <f>Source!V41</f>
        <v>0.01</v>
      </c>
    </row>
    <row r="135" spans="3:4" ht="12.75">
      <c r="C135" s="31" t="s">
        <v>387</v>
      </c>
      <c r="D135" s="32" t="str">
        <f>Source!BO41</f>
        <v>16-02-007-4</v>
      </c>
    </row>
    <row r="136" spans="3:4" ht="22.5">
      <c r="C136" s="31" t="s">
        <v>388</v>
      </c>
      <c r="D136" s="31" t="str">
        <f>Source!DE41</f>
        <v>)*1,25</v>
      </c>
    </row>
    <row r="137" spans="3:4" ht="12.75">
      <c r="C137" s="31" t="s">
        <v>389</v>
      </c>
      <c r="D137" s="31" t="str">
        <f>Source!DF41</f>
        <v>)*1,25</v>
      </c>
    </row>
    <row r="138" spans="3:4" ht="12.75">
      <c r="C138" s="31" t="s">
        <v>390</v>
      </c>
      <c r="D138" s="31" t="str">
        <f>Source!DG41</f>
        <v>)*1,15</v>
      </c>
    </row>
    <row r="139" spans="3:7" ht="12.75">
      <c r="C139" s="35" t="s">
        <v>396</v>
      </c>
      <c r="D139" s="4">
        <f>Source!AT41</f>
        <v>128</v>
      </c>
      <c r="E139" s="4"/>
      <c r="F139" s="4"/>
      <c r="G139" s="36">
        <f>Source!X41</f>
        <v>21.49</v>
      </c>
    </row>
    <row r="140" spans="3:7" ht="12.75">
      <c r="C140" s="35" t="s">
        <v>397</v>
      </c>
      <c r="D140" s="4">
        <f>Source!AU41</f>
        <v>83</v>
      </c>
      <c r="E140" s="4"/>
      <c r="F140" s="4"/>
      <c r="G140" s="36">
        <f>Source!Y41</f>
        <v>13.94</v>
      </c>
    </row>
    <row r="142" spans="1:11" ht="48">
      <c r="A142" s="26" t="str">
        <f>Source!E42</f>
        <v>11,1</v>
      </c>
      <c r="B142" s="26">
        <f>Source!F42</f>
        <v>0</v>
      </c>
      <c r="C142" s="27" t="str">
        <f>Source!G42</f>
        <v>Фланцы стальные плоские приварные из стали ВСт3сп2, ВСт3сп3; давлением 1.0 МПа (10 кгс/см2), диаметром 100 мм</v>
      </c>
      <c r="D142" s="5">
        <f>Source!I42</f>
        <v>1</v>
      </c>
      <c r="E142" s="29">
        <f>Source!AB42</f>
        <v>161.21</v>
      </c>
      <c r="F142" s="29">
        <f>Source!AD42</f>
        <v>0</v>
      </c>
      <c r="G142" s="6">
        <f>Source!O42</f>
        <v>161.21</v>
      </c>
      <c r="H142" s="6">
        <f>Source!S42</f>
        <v>0</v>
      </c>
      <c r="I142" s="30">
        <f>Source!Q42</f>
        <v>0</v>
      </c>
      <c r="J142" s="29">
        <f>Source!AH42</f>
        <v>0</v>
      </c>
      <c r="K142" s="30">
        <f>Source!U42</f>
        <v>0</v>
      </c>
    </row>
    <row r="143" spans="3:11" ht="12.75">
      <c r="C143" s="28" t="str">
        <f>Source!H42</f>
        <v>шт.</v>
      </c>
      <c r="D143" s="5"/>
      <c r="E143" s="5">
        <f>Source!AF42</f>
        <v>0</v>
      </c>
      <c r="F143" s="5">
        <f>Source!AE42</f>
        <v>0</v>
      </c>
      <c r="G143" s="6"/>
      <c r="H143" s="6"/>
      <c r="I143" s="6">
        <f>Source!R42</f>
        <v>0</v>
      </c>
      <c r="J143" s="5">
        <f>Source!AI42</f>
        <v>0</v>
      </c>
      <c r="K143" s="6">
        <f>Source!V42</f>
        <v>0</v>
      </c>
    </row>
    <row r="144" spans="3:4" ht="12.75">
      <c r="C144" s="31" t="s">
        <v>387</v>
      </c>
      <c r="D144" s="32" t="str">
        <f>Source!BO42</f>
        <v>300-0969</v>
      </c>
    </row>
    <row r="145" spans="3:4" ht="22.5">
      <c r="C145" s="31" t="s">
        <v>388</v>
      </c>
      <c r="D145" s="31" t="str">
        <f>Source!DE42</f>
        <v>)*1,25</v>
      </c>
    </row>
    <row r="146" spans="3:4" ht="12.75">
      <c r="C146" s="31" t="s">
        <v>389</v>
      </c>
      <c r="D146" s="31" t="str">
        <f>Source!DF42</f>
        <v>)*1,25</v>
      </c>
    </row>
    <row r="147" spans="3:4" ht="12.75">
      <c r="C147" s="31" t="s">
        <v>390</v>
      </c>
      <c r="D147" s="31" t="str">
        <f>Source!DG42</f>
        <v>)*1,15</v>
      </c>
    </row>
    <row r="148" spans="1:11" ht="48">
      <c r="A148" s="26" t="str">
        <f>Source!E43</f>
        <v>13</v>
      </c>
      <c r="B148" s="26" t="str">
        <f>Source!F43</f>
        <v>16-05-001-1</v>
      </c>
      <c r="C148" s="27" t="str">
        <f>Source!G43</f>
        <v>Установка вентилей, задвижек, затворов, клапанов обратных, кранов проходных на трубопроводах из стальных труб диаметром до 25 мм</v>
      </c>
      <c r="D148" s="5">
        <f>Source!I43</f>
        <v>1</v>
      </c>
      <c r="E148" s="29">
        <f>Source!AB43</f>
        <v>80.0295</v>
      </c>
      <c r="F148" s="29">
        <f>Source!AD43</f>
        <v>2.05</v>
      </c>
      <c r="G148" s="6">
        <f>Source!O43</f>
        <v>80.03</v>
      </c>
      <c r="H148" s="6">
        <f>Source!S43</f>
        <v>15.33</v>
      </c>
      <c r="I148" s="30">
        <f>Source!Q43</f>
        <v>2.05</v>
      </c>
      <c r="J148" s="29">
        <f>Source!AH43</f>
        <v>1.47</v>
      </c>
      <c r="K148" s="30">
        <f>Source!U43</f>
        <v>1.47</v>
      </c>
    </row>
    <row r="149" spans="3:11" ht="12.75">
      <c r="C149" s="28" t="str">
        <f>Source!H43</f>
        <v>шт.</v>
      </c>
      <c r="D149" s="5"/>
      <c r="E149" s="5">
        <f>Source!AF43</f>
        <v>15.3295</v>
      </c>
      <c r="F149" s="5">
        <f>Source!AE43</f>
        <v>0.15</v>
      </c>
      <c r="G149" s="6"/>
      <c r="H149" s="6"/>
      <c r="I149" s="6">
        <f>Source!R43</f>
        <v>0.15</v>
      </c>
      <c r="J149" s="5">
        <f>Source!AI43</f>
        <v>0.01</v>
      </c>
      <c r="K149" s="6">
        <f>Source!V43</f>
        <v>0.01</v>
      </c>
    </row>
    <row r="150" spans="3:4" ht="12.75">
      <c r="C150" s="31" t="s">
        <v>387</v>
      </c>
      <c r="D150" s="32" t="str">
        <f>Source!BO43</f>
        <v>16-05-001-1</v>
      </c>
    </row>
    <row r="151" spans="3:4" ht="22.5">
      <c r="C151" s="31" t="s">
        <v>388</v>
      </c>
      <c r="D151" s="31" t="str">
        <f>Source!DE43</f>
        <v>)*1,25</v>
      </c>
    </row>
    <row r="152" spans="3:4" ht="12.75">
      <c r="C152" s="31" t="s">
        <v>389</v>
      </c>
      <c r="D152" s="31" t="str">
        <f>Source!DF43</f>
        <v>)*1,25</v>
      </c>
    </row>
    <row r="153" spans="3:4" ht="12.75">
      <c r="C153" s="31" t="s">
        <v>390</v>
      </c>
      <c r="D153" s="31" t="str">
        <f>Source!DG43</f>
        <v>)*1,15</v>
      </c>
    </row>
    <row r="154" spans="3:7" ht="12.75">
      <c r="C154" s="35" t="s">
        <v>396</v>
      </c>
      <c r="D154" s="4">
        <f>Source!AT43</f>
        <v>128</v>
      </c>
      <c r="E154" s="4"/>
      <c r="F154" s="4"/>
      <c r="G154" s="36">
        <f>Source!X43</f>
        <v>19.81</v>
      </c>
    </row>
    <row r="155" spans="3:7" ht="12.75">
      <c r="C155" s="35" t="s">
        <v>397</v>
      </c>
      <c r="D155" s="4">
        <f>Source!AU43</f>
        <v>83</v>
      </c>
      <c r="E155" s="4"/>
      <c r="F155" s="4"/>
      <c r="G155" s="36">
        <f>Source!Y43</f>
        <v>12.85</v>
      </c>
    </row>
    <row r="157" spans="1:11" ht="24">
      <c r="A157" s="26" t="str">
        <f>Source!E44</f>
        <v>13,1</v>
      </c>
      <c r="B157" s="26">
        <f>Source!F44</f>
        <v>0</v>
      </c>
      <c r="C157" s="27" t="str">
        <f>Source!G44</f>
        <v>Задвижка Ду= 100мм 30с15нж</v>
      </c>
      <c r="D157" s="5">
        <f>Source!I44</f>
        <v>1</v>
      </c>
      <c r="E157" s="29">
        <f>Source!AB44</f>
        <v>1703.87</v>
      </c>
      <c r="F157" s="29">
        <f>Source!AD44</f>
        <v>0</v>
      </c>
      <c r="G157" s="6">
        <f>Source!O44</f>
        <v>1703.87</v>
      </c>
      <c r="H157" s="6">
        <f>Source!S44</f>
        <v>0</v>
      </c>
      <c r="I157" s="30">
        <f>Source!Q44</f>
        <v>0</v>
      </c>
      <c r="J157" s="29">
        <f>Source!AH44</f>
        <v>0</v>
      </c>
      <c r="K157" s="30">
        <f>Source!U44</f>
        <v>0</v>
      </c>
    </row>
    <row r="158" spans="3:11" ht="12.75">
      <c r="C158" s="28" t="str">
        <f>Source!H44</f>
        <v>ШТ</v>
      </c>
      <c r="D158" s="5"/>
      <c r="E158" s="5">
        <f>Source!AF44</f>
        <v>0</v>
      </c>
      <c r="F158" s="5">
        <f>Source!AE44</f>
        <v>0</v>
      </c>
      <c r="G158" s="6"/>
      <c r="H158" s="6"/>
      <c r="I158" s="6">
        <f>Source!R44</f>
        <v>0</v>
      </c>
      <c r="J158" s="5">
        <f>Source!AI44</f>
        <v>0</v>
      </c>
      <c r="K158" s="6">
        <f>Source!V44</f>
        <v>0</v>
      </c>
    </row>
    <row r="159" spans="3:4" ht="22.5">
      <c r="C159" s="31" t="s">
        <v>388</v>
      </c>
      <c r="D159" s="31" t="str">
        <f>Source!DE44</f>
        <v>)*1,25</v>
      </c>
    </row>
    <row r="160" spans="3:4" ht="12.75">
      <c r="C160" s="31" t="s">
        <v>389</v>
      </c>
      <c r="D160" s="31" t="str">
        <f>Source!DF44</f>
        <v>)*1,25</v>
      </c>
    </row>
    <row r="161" spans="3:4" ht="12.75">
      <c r="C161" s="31" t="s">
        <v>390</v>
      </c>
      <c r="D161" s="31" t="str">
        <f>Source!DG44</f>
        <v>)*1,15</v>
      </c>
    </row>
    <row r="162" spans="1:11" ht="48">
      <c r="A162" s="26" t="str">
        <f>Source!E45</f>
        <v>13,4</v>
      </c>
      <c r="B162" s="26">
        <f>Source!F45</f>
        <v>0</v>
      </c>
      <c r="C162" s="27" t="str">
        <f>Source!G45</f>
        <v>Фланцы стальные плоские приварные из стали ВСт3сп2, ВСт3сп3; давлением 2.5 МПа (25 кгс/см2), диаметром 100 мм</v>
      </c>
      <c r="D162" s="5">
        <f>Source!I45</f>
        <v>2</v>
      </c>
      <c r="E162" s="29">
        <f>Source!AB45</f>
        <v>228.186</v>
      </c>
      <c r="F162" s="29">
        <f>Source!AD45</f>
        <v>0</v>
      </c>
      <c r="G162" s="6">
        <f>Source!O45</f>
        <v>456.37</v>
      </c>
      <c r="H162" s="6">
        <f>Source!S45</f>
        <v>0</v>
      </c>
      <c r="I162" s="30">
        <f>Source!Q45</f>
        <v>0</v>
      </c>
      <c r="J162" s="29">
        <f>Source!AH45</f>
        <v>0</v>
      </c>
      <c r="K162" s="30">
        <f>Source!U45</f>
        <v>0</v>
      </c>
    </row>
    <row r="163" spans="3:11" ht="12.75">
      <c r="C163" s="28" t="str">
        <f>Source!H45</f>
        <v>шт.</v>
      </c>
      <c r="D163" s="5"/>
      <c r="E163" s="5">
        <f>Source!AF45</f>
        <v>0</v>
      </c>
      <c r="F163" s="5">
        <f>Source!AE45</f>
        <v>0</v>
      </c>
      <c r="G163" s="6"/>
      <c r="H163" s="6"/>
      <c r="I163" s="6">
        <f>Source!R45</f>
        <v>0</v>
      </c>
      <c r="J163" s="5">
        <f>Source!AI45</f>
        <v>0</v>
      </c>
      <c r="K163" s="6">
        <f>Source!V45</f>
        <v>0</v>
      </c>
    </row>
    <row r="164" spans="3:4" ht="12.75">
      <c r="C164" s="31" t="s">
        <v>387</v>
      </c>
      <c r="D164" s="32" t="str">
        <f>Source!BO45</f>
        <v>300-1003</v>
      </c>
    </row>
    <row r="165" spans="3:4" ht="22.5">
      <c r="C165" s="31" t="s">
        <v>388</v>
      </c>
      <c r="D165" s="31" t="str">
        <f>Source!DE45</f>
        <v>)*1,25</v>
      </c>
    </row>
    <row r="166" spans="3:4" ht="12.75">
      <c r="C166" s="31" t="s">
        <v>389</v>
      </c>
      <c r="D166" s="31" t="str">
        <f>Source!DF45</f>
        <v>)*1,25</v>
      </c>
    </row>
    <row r="167" spans="3:4" ht="12.75">
      <c r="C167" s="31" t="s">
        <v>390</v>
      </c>
      <c r="D167" s="31" t="str">
        <f>Source!DG45</f>
        <v>)*1,15</v>
      </c>
    </row>
    <row r="168" spans="1:11" ht="24">
      <c r="A168" s="26" t="str">
        <f>Source!E46</f>
        <v>14</v>
      </c>
      <c r="B168" s="26" t="str">
        <f>Source!F46</f>
        <v>19-01-006-1</v>
      </c>
      <c r="C168" s="27" t="str">
        <f>Source!G46</f>
        <v>Установка предохранительных клапанов диаметром до 50 мм</v>
      </c>
      <c r="D168" s="5">
        <f>Source!I46</f>
        <v>2</v>
      </c>
      <c r="E168" s="29">
        <f>Source!AB46</f>
        <v>1076.2899999999997</v>
      </c>
      <c r="F168" s="29">
        <f>Source!AD46</f>
        <v>6.1625</v>
      </c>
      <c r="G168" s="6">
        <f>Source!O46</f>
        <v>2152.59</v>
      </c>
      <c r="H168" s="6">
        <f>Source!S46</f>
        <v>47.96</v>
      </c>
      <c r="I168" s="30">
        <f>Source!Q46</f>
        <v>12.33</v>
      </c>
      <c r="J168" s="29">
        <f>Source!AH46</f>
        <v>2.17</v>
      </c>
      <c r="K168" s="30">
        <f>Source!U46</f>
        <v>4.34</v>
      </c>
    </row>
    <row r="169" spans="3:11" ht="12.75">
      <c r="C169" s="28" t="str">
        <f>Source!H46</f>
        <v>шт.</v>
      </c>
      <c r="D169" s="5"/>
      <c r="E169" s="5">
        <f>Source!AF46</f>
        <v>23.9775</v>
      </c>
      <c r="F169" s="5">
        <f>Source!AE46</f>
        <v>0.8875</v>
      </c>
      <c r="G169" s="6"/>
      <c r="H169" s="6"/>
      <c r="I169" s="6">
        <f>Source!R46</f>
        <v>1.78</v>
      </c>
      <c r="J169" s="5">
        <f>Source!AI46</f>
        <v>0.06</v>
      </c>
      <c r="K169" s="6">
        <f>Source!V46</f>
        <v>0.12</v>
      </c>
    </row>
    <row r="170" spans="3:4" ht="12.75">
      <c r="C170" s="31" t="s">
        <v>387</v>
      </c>
      <c r="D170" s="32" t="str">
        <f>Source!BO46</f>
        <v>19-01-006-1</v>
      </c>
    </row>
    <row r="171" spans="3:4" ht="22.5">
      <c r="C171" s="31" t="s">
        <v>388</v>
      </c>
      <c r="D171" s="31" t="str">
        <f>Source!DE46</f>
        <v>)*1,25</v>
      </c>
    </row>
    <row r="172" spans="3:4" ht="12.75">
      <c r="C172" s="31" t="s">
        <v>389</v>
      </c>
      <c r="D172" s="31" t="str">
        <f>Source!DF46</f>
        <v>)*1,25</v>
      </c>
    </row>
    <row r="173" spans="3:4" ht="12.75">
      <c r="C173" s="31" t="s">
        <v>390</v>
      </c>
      <c r="D173" s="31" t="str">
        <f>Source!DG46</f>
        <v>)*1,15</v>
      </c>
    </row>
    <row r="174" spans="3:7" ht="12.75">
      <c r="C174" s="35" t="s">
        <v>396</v>
      </c>
      <c r="D174" s="4">
        <f>Source!AT46</f>
        <v>128</v>
      </c>
      <c r="E174" s="4"/>
      <c r="F174" s="4"/>
      <c r="G174" s="36">
        <f>Source!X46</f>
        <v>63.67</v>
      </c>
    </row>
    <row r="175" spans="3:7" ht="12.75">
      <c r="C175" s="35" t="s">
        <v>397</v>
      </c>
      <c r="D175" s="4">
        <f>Source!AU46</f>
        <v>83</v>
      </c>
      <c r="E175" s="4"/>
      <c r="F175" s="4"/>
      <c r="G175" s="36">
        <f>Source!Y46</f>
        <v>41.28</v>
      </c>
    </row>
    <row r="177" spans="1:11" ht="24">
      <c r="A177" s="26" t="str">
        <f>Source!E47</f>
        <v>14,1</v>
      </c>
      <c r="B177" s="26">
        <f>Source!F47</f>
        <v>0</v>
      </c>
      <c r="C177" s="27" t="str">
        <f>Source!G47</f>
        <v>Клапан предохранительный 17ч18бр, 1,6мПа диаметр до:  50мм</v>
      </c>
      <c r="D177" s="5">
        <f>Source!I47</f>
        <v>1</v>
      </c>
      <c r="E177" s="29">
        <f>Source!AB47</f>
        <v>965.454</v>
      </c>
      <c r="F177" s="29">
        <f>Source!AD47</f>
        <v>0</v>
      </c>
      <c r="G177" s="6">
        <f>Source!O47</f>
        <v>965.45</v>
      </c>
      <c r="H177" s="6">
        <f>Source!S47</f>
        <v>0</v>
      </c>
      <c r="I177" s="30">
        <f>Source!Q47</f>
        <v>0</v>
      </c>
      <c r="J177" s="29">
        <f>Source!AH47</f>
        <v>0</v>
      </c>
      <c r="K177" s="30">
        <f>Source!U47</f>
        <v>0</v>
      </c>
    </row>
    <row r="178" spans="3:11" ht="12.75">
      <c r="C178" s="28" t="str">
        <f>Source!H47</f>
        <v>шт.</v>
      </c>
      <c r="D178" s="5"/>
      <c r="E178" s="5">
        <f>Source!AF47</f>
        <v>0</v>
      </c>
      <c r="F178" s="5">
        <f>Source!AE47</f>
        <v>0</v>
      </c>
      <c r="G178" s="6"/>
      <c r="H178" s="6"/>
      <c r="I178" s="6">
        <f>Source!R47</f>
        <v>0</v>
      </c>
      <c r="J178" s="5">
        <f>Source!AI47</f>
        <v>0</v>
      </c>
      <c r="K178" s="6">
        <f>Source!V47</f>
        <v>0</v>
      </c>
    </row>
    <row r="179" spans="3:4" ht="22.5">
      <c r="C179" s="31" t="s">
        <v>388</v>
      </c>
      <c r="D179" s="31" t="str">
        <f>Source!DE47</f>
        <v>)*1,25</v>
      </c>
    </row>
    <row r="180" spans="3:4" ht="12.75">
      <c r="C180" s="31" t="s">
        <v>389</v>
      </c>
      <c r="D180" s="31" t="str">
        <f>Source!DF47</f>
        <v>)*1,25</v>
      </c>
    </row>
    <row r="181" spans="3:4" ht="12.75">
      <c r="C181" s="31" t="s">
        <v>390</v>
      </c>
      <c r="D181" s="31" t="str">
        <f>Source!DG47</f>
        <v>)*1,15</v>
      </c>
    </row>
    <row r="182" spans="1:11" ht="24">
      <c r="A182" s="26" t="str">
        <f>Source!E48</f>
        <v>14,2</v>
      </c>
      <c r="B182" s="26">
        <f>Source!F48</f>
      </c>
      <c r="C182" s="27" t="str">
        <f>Source!G48</f>
        <v>Клапан термозапорный КТ3 диаметр 25мм</v>
      </c>
      <c r="D182" s="5">
        <f>Source!I48</f>
        <v>1</v>
      </c>
      <c r="E182" s="29">
        <f>Source!AB48</f>
        <v>1773.0439999999999</v>
      </c>
      <c r="F182" s="29">
        <f>Source!AD48</f>
        <v>0</v>
      </c>
      <c r="G182" s="6">
        <f>Source!O48</f>
        <v>1773.04</v>
      </c>
      <c r="H182" s="6">
        <f>Source!S48</f>
        <v>0</v>
      </c>
      <c r="I182" s="30">
        <f>Source!Q48</f>
        <v>0</v>
      </c>
      <c r="J182" s="29">
        <f>Source!AH48</f>
        <v>0</v>
      </c>
      <c r="K182" s="30">
        <f>Source!U48</f>
        <v>0</v>
      </c>
    </row>
    <row r="183" spans="3:11" ht="12.75">
      <c r="C183" s="28" t="str">
        <f>Source!H48</f>
        <v>ШТ</v>
      </c>
      <c r="D183" s="5"/>
      <c r="E183" s="5">
        <f>Source!AF48</f>
        <v>0</v>
      </c>
      <c r="F183" s="5">
        <f>Source!AE48</f>
        <v>0</v>
      </c>
      <c r="G183" s="6"/>
      <c r="H183" s="6"/>
      <c r="I183" s="6">
        <f>Source!R48</f>
        <v>0</v>
      </c>
      <c r="J183" s="5">
        <f>Source!AI48</f>
        <v>0</v>
      </c>
      <c r="K183" s="6">
        <f>Source!V48</f>
        <v>0</v>
      </c>
    </row>
    <row r="184" spans="3:4" ht="22.5">
      <c r="C184" s="31" t="s">
        <v>388</v>
      </c>
      <c r="D184" s="31" t="str">
        <f>Source!DE48</f>
        <v>)*1,25</v>
      </c>
    </row>
    <row r="185" spans="3:4" ht="12.75">
      <c r="C185" s="31" t="s">
        <v>389</v>
      </c>
      <c r="D185" s="31" t="str">
        <f>Source!DF48</f>
        <v>)*1,25</v>
      </c>
    </row>
    <row r="186" spans="3:4" ht="12.75">
      <c r="C186" s="31" t="s">
        <v>390</v>
      </c>
      <c r="D186" s="31" t="str">
        <f>Source!DG48</f>
        <v>)*1,15</v>
      </c>
    </row>
    <row r="189" spans="3:11" ht="12.75">
      <c r="C189" s="33" t="s">
        <v>391</v>
      </c>
      <c r="D189" s="90" t="str">
        <f>IF(Source!C12="1",Source!F50,Source!G50)</f>
        <v>Сантехнические работы</v>
      </c>
      <c r="E189" s="90"/>
      <c r="F189" s="90"/>
      <c r="G189" s="90"/>
      <c r="H189" s="90"/>
      <c r="I189" s="90"/>
      <c r="J189" s="90"/>
      <c r="K189" s="90"/>
    </row>
    <row r="191" spans="3:8" ht="12.75">
      <c r="C191" s="81" t="str">
        <f>Source!H52</f>
        <v>Прямые затраты</v>
      </c>
      <c r="D191" s="81"/>
      <c r="E191" s="81"/>
      <c r="F191" s="81"/>
      <c r="G191" s="7">
        <f>Source!F52</f>
        <v>12280.78</v>
      </c>
      <c r="H191" s="5"/>
    </row>
    <row r="193" spans="3:8" ht="12.75">
      <c r="C193" s="81" t="str">
        <f>Source!H53</f>
        <v>Стоимость материалов</v>
      </c>
      <c r="D193" s="81"/>
      <c r="E193" s="81"/>
      <c r="F193" s="81"/>
      <c r="G193" s="7">
        <f>Source!F53</f>
        <v>11705.38</v>
      </c>
      <c r="H193" s="5"/>
    </row>
    <row r="195" spans="3:8" ht="12.75">
      <c r="C195" s="81" t="str">
        <f>Source!H54</f>
        <v>Эксплуатация машин</v>
      </c>
      <c r="D195" s="81"/>
      <c r="E195" s="81"/>
      <c r="F195" s="81"/>
      <c r="G195" s="7">
        <f>Source!F54</f>
        <v>63.8</v>
      </c>
      <c r="H195" s="5"/>
    </row>
    <row r="197" spans="3:8" ht="12.75">
      <c r="C197" s="81" t="str">
        <f>Source!H55</f>
        <v>ЗП машинистов</v>
      </c>
      <c r="D197" s="81"/>
      <c r="E197" s="81"/>
      <c r="F197" s="81"/>
      <c r="G197" s="7">
        <f>Source!F55</f>
        <v>7.68</v>
      </c>
      <c r="H197" s="5"/>
    </row>
    <row r="199" spans="3:8" ht="12.75">
      <c r="C199" s="81" t="str">
        <f>Source!H56</f>
        <v>Основная ЗП рабочих</v>
      </c>
      <c r="D199" s="81"/>
      <c r="E199" s="81"/>
      <c r="F199" s="81"/>
      <c r="G199" s="7">
        <f>Source!F56</f>
        <v>511.6</v>
      </c>
      <c r="H199" s="5"/>
    </row>
    <row r="201" spans="3:8" ht="12.75">
      <c r="C201" s="81" t="str">
        <f>Source!H58</f>
        <v>Трудозатраты строителей</v>
      </c>
      <c r="D201" s="81"/>
      <c r="E201" s="81"/>
      <c r="F201" s="81"/>
      <c r="G201" s="7">
        <f>Source!F58</f>
        <v>45</v>
      </c>
      <c r="H201" s="5"/>
    </row>
    <row r="203" spans="3:8" ht="12.75">
      <c r="C203" s="81" t="str">
        <f>Source!H59</f>
        <v>Трудозатраты машинистов</v>
      </c>
      <c r="D203" s="81"/>
      <c r="E203" s="81"/>
      <c r="F203" s="81"/>
      <c r="G203" s="7">
        <f>Source!F59</f>
        <v>0.52</v>
      </c>
      <c r="H203" s="5"/>
    </row>
    <row r="205" spans="3:8" ht="12.75">
      <c r="C205" s="81" t="str">
        <f>Source!H61</f>
        <v>Накладные расходы</v>
      </c>
      <c r="D205" s="81"/>
      <c r="E205" s="81"/>
      <c r="F205" s="81"/>
      <c r="G205" s="7">
        <f>Source!F61</f>
        <v>664.69</v>
      </c>
      <c r="H205" s="5"/>
    </row>
    <row r="207" spans="3:8" ht="12.75">
      <c r="C207" s="81" t="str">
        <f>Source!H62</f>
        <v>Сметная прибыль</v>
      </c>
      <c r="D207" s="81"/>
      <c r="E207" s="81"/>
      <c r="F207" s="81"/>
      <c r="G207" s="7">
        <f>Source!F62</f>
        <v>431.01</v>
      </c>
      <c r="H207" s="5"/>
    </row>
    <row r="210" spans="3:11" ht="15.75">
      <c r="C210" s="25" t="s">
        <v>386</v>
      </c>
      <c r="D210" s="89" t="str">
        <f>IF(Source!C12="1",Source!F64,Source!G64)</f>
        <v>Строительные работы</v>
      </c>
      <c r="E210" s="89"/>
      <c r="F210" s="89"/>
      <c r="G210" s="89"/>
      <c r="H210" s="89"/>
      <c r="I210" s="89"/>
      <c r="J210" s="89"/>
      <c r="K210" s="89"/>
    </row>
    <row r="212" spans="1:11" ht="48">
      <c r="A212" s="26" t="str">
        <f>Source!E68</f>
        <v>1</v>
      </c>
      <c r="B212" s="26" t="str">
        <f>Source!F68</f>
        <v>15-04-030-4</v>
      </c>
      <c r="C212" s="27" t="str">
        <f>Source!G68</f>
        <v>Масляная окраска металлических поверхностей решеток, переплетов, труб диаметром менее 50 мм и т.п., количество окрасок 2</v>
      </c>
      <c r="D212" s="5">
        <f>Source!I68</f>
        <v>0.043</v>
      </c>
      <c r="E212" s="29">
        <f>Source!AB68</f>
        <v>1450.831</v>
      </c>
      <c r="F212" s="29">
        <f>Source!AD68</f>
        <v>2.4375</v>
      </c>
      <c r="G212" s="6">
        <f>Source!O68</f>
        <v>62.38</v>
      </c>
      <c r="H212" s="6">
        <f>Source!S68</f>
        <v>31.06</v>
      </c>
      <c r="I212" s="30">
        <f>Source!Q68</f>
        <v>0.1</v>
      </c>
      <c r="J212" s="29">
        <f>Source!AH68</f>
        <v>71.06</v>
      </c>
      <c r="K212" s="30">
        <f>Source!U68</f>
        <v>3.06</v>
      </c>
    </row>
    <row r="213" spans="3:11" ht="12.75">
      <c r="C213" s="28" t="str">
        <f>Source!H68</f>
        <v>100 м2</v>
      </c>
      <c r="D213" s="5"/>
      <c r="E213" s="5">
        <f>Source!AF68</f>
        <v>722.3954999999999</v>
      </c>
      <c r="F213" s="5">
        <f>Source!AE68</f>
        <v>0.5125</v>
      </c>
      <c r="G213" s="6"/>
      <c r="H213" s="6"/>
      <c r="I213" s="6">
        <f>Source!R68</f>
        <v>0.02</v>
      </c>
      <c r="J213" s="5">
        <f>Source!AI68</f>
        <v>0.04</v>
      </c>
      <c r="K213" s="6">
        <f>Source!V68</f>
        <v>0</v>
      </c>
    </row>
    <row r="214" spans="3:4" ht="12.75">
      <c r="C214" s="31" t="s">
        <v>387</v>
      </c>
      <c r="D214" s="32" t="str">
        <f>Source!BO68</f>
        <v>15-04-030-4</v>
      </c>
    </row>
    <row r="215" spans="3:4" ht="22.5">
      <c r="C215" s="31" t="s">
        <v>388</v>
      </c>
      <c r="D215" s="31" t="str">
        <f>Source!DE68</f>
        <v>)*1,25</v>
      </c>
    </row>
    <row r="216" spans="3:4" ht="12.75">
      <c r="C216" s="31" t="s">
        <v>389</v>
      </c>
      <c r="D216" s="31" t="str">
        <f>Source!DF68</f>
        <v>)*1,25</v>
      </c>
    </row>
    <row r="217" spans="3:4" ht="12.75">
      <c r="C217" s="31" t="s">
        <v>390</v>
      </c>
      <c r="D217" s="31" t="str">
        <f>Source!DG68</f>
        <v>)*1,15</v>
      </c>
    </row>
    <row r="218" spans="3:7" ht="12.75">
      <c r="C218" s="35" t="s">
        <v>396</v>
      </c>
      <c r="D218" s="4">
        <f>Source!AT68</f>
        <v>105</v>
      </c>
      <c r="E218" s="4"/>
      <c r="F218" s="4"/>
      <c r="G218" s="36">
        <f>Source!X68</f>
        <v>32.63</v>
      </c>
    </row>
    <row r="219" spans="3:7" ht="12.75">
      <c r="C219" s="35" t="s">
        <v>397</v>
      </c>
      <c r="D219" s="4">
        <f>Source!AU68</f>
        <v>55</v>
      </c>
      <c r="E219" s="4"/>
      <c r="F219" s="4"/>
      <c r="G219" s="36">
        <f>Source!Y68</f>
        <v>17.09</v>
      </c>
    </row>
    <row r="221" spans="1:11" ht="48">
      <c r="A221" s="26" t="str">
        <f>Source!E69</f>
        <v>2</v>
      </c>
      <c r="B221" s="26" t="str">
        <f>Source!F69</f>
        <v>15-04-030-3</v>
      </c>
      <c r="C221" s="27" t="str">
        <f>Source!G69</f>
        <v>Масляная окраска металлических поверхностей стальных балок, труб диаметром более 50 мм и т.п., количество окрасок 2</v>
      </c>
      <c r="D221" s="5">
        <f>Source!I69</f>
        <v>0.027</v>
      </c>
      <c r="E221" s="29">
        <f>Source!AB69</f>
        <v>1141.0785</v>
      </c>
      <c r="F221" s="29">
        <f>Source!AD69</f>
        <v>2.4375</v>
      </c>
      <c r="G221" s="6">
        <f>Source!O69</f>
        <v>30.81</v>
      </c>
      <c r="H221" s="6">
        <f>Source!S69</f>
        <v>11.14</v>
      </c>
      <c r="I221" s="30">
        <f>Source!Q69</f>
        <v>0.07</v>
      </c>
      <c r="J221" s="29">
        <f>Source!AH69</f>
        <v>40.59</v>
      </c>
      <c r="K221" s="30">
        <f>Source!U69</f>
        <v>1.1</v>
      </c>
    </row>
    <row r="222" spans="3:11" ht="12.75">
      <c r="C222" s="28" t="str">
        <f>Source!H69</f>
        <v>100 м2</v>
      </c>
      <c r="D222" s="5"/>
      <c r="E222" s="5">
        <f>Source!AF69</f>
        <v>412.643</v>
      </c>
      <c r="F222" s="5">
        <f>Source!AE69</f>
        <v>0.5125</v>
      </c>
      <c r="G222" s="6"/>
      <c r="H222" s="6"/>
      <c r="I222" s="6">
        <f>Source!R69</f>
        <v>0.01</v>
      </c>
      <c r="J222" s="5">
        <f>Source!AI69</f>
        <v>0.04</v>
      </c>
      <c r="K222" s="6">
        <f>Source!V69</f>
        <v>0</v>
      </c>
    </row>
    <row r="223" spans="3:4" ht="12.75">
      <c r="C223" s="31" t="s">
        <v>387</v>
      </c>
      <c r="D223" s="32" t="str">
        <f>Source!BO69</f>
        <v>15-04-030-3</v>
      </c>
    </row>
    <row r="224" spans="3:4" ht="22.5">
      <c r="C224" s="31" t="s">
        <v>388</v>
      </c>
      <c r="D224" s="31" t="str">
        <f>Source!DE69</f>
        <v>)*1,25</v>
      </c>
    </row>
    <row r="225" spans="3:4" ht="12.75">
      <c r="C225" s="31" t="s">
        <v>389</v>
      </c>
      <c r="D225" s="31" t="str">
        <f>Source!DF69</f>
        <v>)*1,25</v>
      </c>
    </row>
    <row r="226" spans="3:4" ht="12.75">
      <c r="C226" s="31" t="s">
        <v>390</v>
      </c>
      <c r="D226" s="31" t="str">
        <f>Source!DG69</f>
        <v>)*1,15</v>
      </c>
    </row>
    <row r="227" spans="3:7" ht="12.75">
      <c r="C227" s="35" t="s">
        <v>396</v>
      </c>
      <c r="D227" s="4">
        <f>Source!AT69</f>
        <v>105</v>
      </c>
      <c r="E227" s="4"/>
      <c r="F227" s="4"/>
      <c r="G227" s="36">
        <f>Source!X69</f>
        <v>11.71</v>
      </c>
    </row>
    <row r="228" spans="3:7" ht="12.75">
      <c r="C228" s="35" t="s">
        <v>397</v>
      </c>
      <c r="D228" s="4">
        <f>Source!AU69</f>
        <v>55</v>
      </c>
      <c r="E228" s="4"/>
      <c r="F228" s="4"/>
      <c r="G228" s="36">
        <f>Source!Y69</f>
        <v>6.13</v>
      </c>
    </row>
    <row r="232" spans="3:11" ht="12.75">
      <c r="C232" s="33" t="s">
        <v>391</v>
      </c>
      <c r="D232" s="90" t="str">
        <f>IF(Source!C12="1",Source!F71,Source!G71)</f>
        <v>Строительные работы</v>
      </c>
      <c r="E232" s="90"/>
      <c r="F232" s="90"/>
      <c r="G232" s="90"/>
      <c r="H232" s="90"/>
      <c r="I232" s="90"/>
      <c r="J232" s="90"/>
      <c r="K232" s="90"/>
    </row>
    <row r="234" spans="3:8" ht="12.75">
      <c r="C234" s="81" t="str">
        <f>Source!H73</f>
        <v>Прямые затраты</v>
      </c>
      <c r="D234" s="81"/>
      <c r="E234" s="81"/>
      <c r="F234" s="81"/>
      <c r="G234" s="7">
        <f>Source!F73</f>
        <v>93.19</v>
      </c>
      <c r="H234" s="5"/>
    </row>
    <row r="236" spans="3:8" ht="12.75">
      <c r="C236" s="81" t="str">
        <f>Source!H74</f>
        <v>Стоимость материалов</v>
      </c>
      <c r="D236" s="81"/>
      <c r="E236" s="81"/>
      <c r="F236" s="81"/>
      <c r="G236" s="7">
        <f>Source!F74</f>
        <v>50.82</v>
      </c>
      <c r="H236" s="5"/>
    </row>
    <row r="238" spans="3:8" ht="12.75">
      <c r="C238" s="81" t="str">
        <f>Source!H75</f>
        <v>Эксплуатация машин</v>
      </c>
      <c r="D238" s="81"/>
      <c r="E238" s="81"/>
      <c r="F238" s="81"/>
      <c r="G238" s="7">
        <f>Source!F75</f>
        <v>0.17</v>
      </c>
      <c r="H238" s="5"/>
    </row>
    <row r="240" spans="3:8" ht="12.75">
      <c r="C240" s="81" t="str">
        <f>Source!H76</f>
        <v>ЗП машинистов</v>
      </c>
      <c r="D240" s="81"/>
      <c r="E240" s="81"/>
      <c r="F240" s="81"/>
      <c r="G240" s="7">
        <f>Source!F76</f>
        <v>0.03</v>
      </c>
      <c r="H240" s="5"/>
    </row>
    <row r="242" spans="3:8" ht="12.75">
      <c r="C242" s="81" t="str">
        <f>Source!H77</f>
        <v>Основная ЗП рабочих</v>
      </c>
      <c r="D242" s="81"/>
      <c r="E242" s="81"/>
      <c r="F242" s="81"/>
      <c r="G242" s="7">
        <f>Source!F77</f>
        <v>42.2</v>
      </c>
      <c r="H242" s="5"/>
    </row>
    <row r="244" spans="3:8" ht="12.75">
      <c r="C244" s="81" t="str">
        <f>Source!H79</f>
        <v>Трудозатраты строителей</v>
      </c>
      <c r="D244" s="81"/>
      <c r="E244" s="81"/>
      <c r="F244" s="81"/>
      <c r="G244" s="7">
        <f>Source!F79</f>
        <v>4.16</v>
      </c>
      <c r="H244" s="5"/>
    </row>
    <row r="246" spans="3:8" ht="12.75">
      <c r="C246" s="81" t="str">
        <f>Source!H82</f>
        <v>Накладные расходы</v>
      </c>
      <c r="D246" s="81"/>
      <c r="E246" s="81"/>
      <c r="F246" s="81"/>
      <c r="G246" s="7">
        <f>Source!F82</f>
        <v>44.34</v>
      </c>
      <c r="H246" s="5"/>
    </row>
    <row r="248" spans="3:8" ht="12.75">
      <c r="C248" s="81" t="str">
        <f>Source!H83</f>
        <v>Сметная прибыль</v>
      </c>
      <c r="D248" s="81"/>
      <c r="E248" s="81"/>
      <c r="F248" s="81"/>
      <c r="G248" s="7">
        <f>Source!F83</f>
        <v>23.22</v>
      </c>
      <c r="H248" s="5"/>
    </row>
    <row r="251" spans="3:11" ht="15.75">
      <c r="C251" s="25" t="s">
        <v>386</v>
      </c>
      <c r="D251" s="89" t="str">
        <f>IF(Source!C12="1",Source!F85,Source!G85)</f>
        <v>Монтажные работы</v>
      </c>
      <c r="E251" s="89"/>
      <c r="F251" s="89"/>
      <c r="G251" s="89"/>
      <c r="H251" s="89"/>
      <c r="I251" s="89"/>
      <c r="J251" s="89"/>
      <c r="K251" s="89"/>
    </row>
    <row r="253" spans="1:11" ht="48">
      <c r="A253" s="26" t="str">
        <f>Source!E89</f>
        <v>1</v>
      </c>
      <c r="B253" s="26" t="str">
        <f>Source!F89</f>
        <v>м11-02-022-5</v>
      </c>
      <c r="C253" s="27" t="str">
        <f>Source!G89</f>
        <v>Ротаметр, счетчик, преобразователь, устанавливаемые на фланцевых соединениях, диаметр условного прохода, мм, до: 80</v>
      </c>
      <c r="D253" s="5">
        <f>Source!I89</f>
        <v>1</v>
      </c>
      <c r="E253" s="29">
        <f>Source!AB89</f>
        <v>80.7075</v>
      </c>
      <c r="F253" s="29">
        <f>Source!AD89</f>
        <v>12.15</v>
      </c>
      <c r="G253" s="6">
        <f>Source!O89</f>
        <v>80.71</v>
      </c>
      <c r="H253" s="6">
        <f>Source!S89</f>
        <v>41.41</v>
      </c>
      <c r="I253" s="30">
        <f>Source!Q89</f>
        <v>12.15</v>
      </c>
      <c r="J253" s="29">
        <f>Source!AH89</f>
        <v>4.12</v>
      </c>
      <c r="K253" s="30">
        <f>Source!U89</f>
        <v>4.12</v>
      </c>
    </row>
    <row r="254" spans="3:11" ht="12.75">
      <c r="C254" s="28" t="str">
        <f>Source!H89</f>
        <v>шт.</v>
      </c>
      <c r="D254" s="5"/>
      <c r="E254" s="5">
        <f>Source!AF89</f>
        <v>41.4115</v>
      </c>
      <c r="F254" s="5">
        <f>Source!AE89</f>
        <v>2.3625</v>
      </c>
      <c r="G254" s="6"/>
      <c r="H254" s="6"/>
      <c r="I254" s="6">
        <f>Source!R89</f>
        <v>2.36</v>
      </c>
      <c r="J254" s="5">
        <f>Source!AI89</f>
        <v>0.16</v>
      </c>
      <c r="K254" s="6">
        <f>Source!V89</f>
        <v>0.16</v>
      </c>
    </row>
    <row r="255" spans="3:4" ht="12.75">
      <c r="C255" s="31" t="s">
        <v>387</v>
      </c>
      <c r="D255" s="32" t="str">
        <f>Source!BO89</f>
        <v>м11-02-022-5</v>
      </c>
    </row>
    <row r="256" spans="3:4" ht="22.5">
      <c r="C256" s="31" t="s">
        <v>388</v>
      </c>
      <c r="D256" s="31" t="str">
        <f>Source!DE89</f>
        <v>)*1,25</v>
      </c>
    </row>
    <row r="257" spans="3:4" ht="12.75">
      <c r="C257" s="31" t="s">
        <v>389</v>
      </c>
      <c r="D257" s="31" t="str">
        <f>Source!DF89</f>
        <v>)*1,25</v>
      </c>
    </row>
    <row r="258" spans="3:4" ht="12.75">
      <c r="C258" s="31" t="s">
        <v>390</v>
      </c>
      <c r="D258" s="31" t="str">
        <f>Source!DG89</f>
        <v>)*1,15</v>
      </c>
    </row>
    <row r="259" spans="3:7" ht="12.75">
      <c r="C259" s="35" t="s">
        <v>396</v>
      </c>
      <c r="D259" s="4">
        <f>Source!AT89</f>
        <v>80</v>
      </c>
      <c r="E259" s="4"/>
      <c r="F259" s="4"/>
      <c r="G259" s="36">
        <f>Source!X89</f>
        <v>35.02</v>
      </c>
    </row>
    <row r="260" spans="3:7" ht="12.75">
      <c r="C260" s="35" t="s">
        <v>397</v>
      </c>
      <c r="D260" s="4">
        <f>Source!AU89</f>
        <v>60</v>
      </c>
      <c r="E260" s="4"/>
      <c r="F260" s="4"/>
      <c r="G260" s="36">
        <f>Source!Y89</f>
        <v>26.26</v>
      </c>
    </row>
    <row r="262" spans="1:11" ht="24">
      <c r="A262" s="26" t="str">
        <f>Source!E90</f>
        <v>2</v>
      </c>
      <c r="B262" s="26" t="str">
        <f>Source!F90</f>
        <v>м11-03-001-2</v>
      </c>
      <c r="C262" s="27" t="str">
        <f>Source!G90</f>
        <v>Прибор, масса, кг, до: 10</v>
      </c>
      <c r="D262" s="5">
        <f>Source!I90</f>
        <v>1</v>
      </c>
      <c r="E262" s="29">
        <f>Source!AB90</f>
        <v>14.7095</v>
      </c>
      <c r="F262" s="29">
        <f>Source!AD90</f>
        <v>0</v>
      </c>
      <c r="G262" s="6">
        <f>Source!O90</f>
        <v>14.71</v>
      </c>
      <c r="H262" s="6">
        <f>Source!S90</f>
        <v>11.74</v>
      </c>
      <c r="I262" s="30">
        <f>Source!Q90</f>
        <v>0</v>
      </c>
      <c r="J262" s="29">
        <f>Source!AH90</f>
        <v>1.03</v>
      </c>
      <c r="K262" s="30">
        <f>Source!U90</f>
        <v>1.03</v>
      </c>
    </row>
    <row r="263" spans="3:11" ht="12.75">
      <c r="C263" s="28" t="str">
        <f>Source!H90</f>
        <v>шт.</v>
      </c>
      <c r="D263" s="5"/>
      <c r="E263" s="5">
        <f>Source!AF90</f>
        <v>11.7415</v>
      </c>
      <c r="F263" s="5">
        <f>Source!AE90</f>
        <v>0</v>
      </c>
      <c r="G263" s="6"/>
      <c r="H263" s="6"/>
      <c r="I263" s="6">
        <f>Source!R90</f>
        <v>0</v>
      </c>
      <c r="J263" s="5">
        <f>Source!AI90</f>
        <v>0</v>
      </c>
      <c r="K263" s="6">
        <f>Source!V90</f>
        <v>0</v>
      </c>
    </row>
    <row r="264" spans="3:4" ht="12.75">
      <c r="C264" s="31" t="s">
        <v>387</v>
      </c>
      <c r="D264" s="32" t="str">
        <f>Source!BO90</f>
        <v>м11-03-001-2</v>
      </c>
    </row>
    <row r="265" spans="3:4" ht="22.5">
      <c r="C265" s="31" t="s">
        <v>388</v>
      </c>
      <c r="D265" s="31" t="str">
        <f>Source!DE90</f>
        <v>)*1,25</v>
      </c>
    </row>
    <row r="266" spans="3:4" ht="12.75">
      <c r="C266" s="31" t="s">
        <v>389</v>
      </c>
      <c r="D266" s="31" t="str">
        <f>Source!DF90</f>
        <v>)*1,25</v>
      </c>
    </row>
    <row r="267" spans="3:4" ht="12.75">
      <c r="C267" s="31" t="s">
        <v>390</v>
      </c>
      <c r="D267" s="31" t="str">
        <f>Source!DG90</f>
        <v>)*1,15</v>
      </c>
    </row>
    <row r="268" spans="3:7" ht="12.75">
      <c r="C268" s="35" t="s">
        <v>396</v>
      </c>
      <c r="D268" s="4">
        <f>Source!AT90</f>
        <v>80</v>
      </c>
      <c r="E268" s="4"/>
      <c r="F268" s="4"/>
      <c r="G268" s="36">
        <f>Source!X90</f>
        <v>9.39</v>
      </c>
    </row>
    <row r="269" spans="3:7" ht="12.75">
      <c r="C269" s="35" t="s">
        <v>397</v>
      </c>
      <c r="D269" s="4">
        <f>Source!AU90</f>
        <v>60</v>
      </c>
      <c r="E269" s="4"/>
      <c r="F269" s="4"/>
      <c r="G269" s="36">
        <f>Source!Y90</f>
        <v>7.04</v>
      </c>
    </row>
    <row r="273" spans="3:11" ht="12.75">
      <c r="C273" s="33" t="s">
        <v>391</v>
      </c>
      <c r="D273" s="90" t="str">
        <f>IF(Source!C12="1",Source!F92,Source!G92)</f>
        <v>Монтажные работы</v>
      </c>
      <c r="E273" s="90"/>
      <c r="F273" s="90"/>
      <c r="G273" s="90"/>
      <c r="H273" s="90"/>
      <c r="I273" s="90"/>
      <c r="J273" s="90"/>
      <c r="K273" s="90"/>
    </row>
    <row r="275" spans="3:8" ht="12.75">
      <c r="C275" s="81" t="str">
        <f>Source!H94</f>
        <v>Прямые затраты</v>
      </c>
      <c r="D275" s="81"/>
      <c r="E275" s="81"/>
      <c r="F275" s="81"/>
      <c r="G275" s="7">
        <f>Source!F94</f>
        <v>95.42</v>
      </c>
      <c r="H275" s="5"/>
    </row>
    <row r="277" spans="3:8" ht="12.75">
      <c r="C277" s="81" t="str">
        <f>Source!H95</f>
        <v>Стоимость материалов</v>
      </c>
      <c r="D277" s="81"/>
      <c r="E277" s="81"/>
      <c r="F277" s="81"/>
      <c r="G277" s="7">
        <f>Source!F95</f>
        <v>30.12</v>
      </c>
      <c r="H277" s="5"/>
    </row>
    <row r="279" spans="3:8" ht="12.75">
      <c r="C279" s="81" t="str">
        <f>Source!H96</f>
        <v>Эксплуатация машин</v>
      </c>
      <c r="D279" s="81"/>
      <c r="E279" s="81"/>
      <c r="F279" s="81"/>
      <c r="G279" s="7">
        <f>Source!F96</f>
        <v>12.15</v>
      </c>
      <c r="H279" s="5"/>
    </row>
    <row r="281" spans="3:8" ht="12.75">
      <c r="C281" s="81" t="str">
        <f>Source!H97</f>
        <v>ЗП машинистов</v>
      </c>
      <c r="D281" s="81"/>
      <c r="E281" s="81"/>
      <c r="F281" s="81"/>
      <c r="G281" s="7">
        <f>Source!F97</f>
        <v>2.36</v>
      </c>
      <c r="H281" s="5"/>
    </row>
    <row r="283" spans="3:8" ht="12.75">
      <c r="C283" s="81" t="str">
        <f>Source!H98</f>
        <v>Основная ЗП рабочих</v>
      </c>
      <c r="D283" s="81"/>
      <c r="E283" s="81"/>
      <c r="F283" s="81"/>
      <c r="G283" s="7">
        <f>Source!F98</f>
        <v>53.15</v>
      </c>
      <c r="H283" s="5"/>
    </row>
    <row r="285" spans="3:8" ht="12.75">
      <c r="C285" s="81" t="str">
        <f>Source!H100</f>
        <v>Трудозатраты строителей</v>
      </c>
      <c r="D285" s="81"/>
      <c r="E285" s="81"/>
      <c r="F285" s="81"/>
      <c r="G285" s="7">
        <f>Source!F100</f>
        <v>5.15</v>
      </c>
      <c r="H285" s="5"/>
    </row>
    <row r="287" spans="3:8" ht="12.75">
      <c r="C287" s="81" t="str">
        <f>Source!H101</f>
        <v>Трудозатраты машинистов</v>
      </c>
      <c r="D287" s="81"/>
      <c r="E287" s="81"/>
      <c r="F287" s="81"/>
      <c r="G287" s="7">
        <f>Source!F101</f>
        <v>0.16</v>
      </c>
      <c r="H287" s="5"/>
    </row>
    <row r="289" spans="3:8" ht="12.75">
      <c r="C289" s="81" t="str">
        <f>Source!H103</f>
        <v>Накладные расходы</v>
      </c>
      <c r="D289" s="81"/>
      <c r="E289" s="81"/>
      <c r="F289" s="81"/>
      <c r="G289" s="7">
        <f>Source!F103</f>
        <v>44.41</v>
      </c>
      <c r="H289" s="5"/>
    </row>
    <row r="291" spans="3:8" ht="12.75">
      <c r="C291" s="81" t="str">
        <f>Source!H104</f>
        <v>Сметная прибыль</v>
      </c>
      <c r="D291" s="81"/>
      <c r="E291" s="81"/>
      <c r="F291" s="81"/>
      <c r="G291" s="7">
        <f>Source!F104</f>
        <v>33.3</v>
      </c>
      <c r="H291" s="5"/>
    </row>
    <row r="294" spans="3:11" ht="15.75">
      <c r="C294" s="25" t="s">
        <v>386</v>
      </c>
      <c r="D294" s="89" t="str">
        <f>IF(Source!C12="1",Source!F106,Source!G106)</f>
        <v>Оборудование</v>
      </c>
      <c r="E294" s="89"/>
      <c r="F294" s="89"/>
      <c r="G294" s="89"/>
      <c r="H294" s="89"/>
      <c r="I294" s="89"/>
      <c r="J294" s="89"/>
      <c r="K294" s="89"/>
    </row>
    <row r="296" spans="1:12" ht="12.75">
      <c r="A296" s="26" t="str">
        <f>Source!E110</f>
        <v>1</v>
      </c>
      <c r="B296" s="26">
        <f>Source!F110</f>
      </c>
      <c r="C296" s="27" t="str">
        <f>Source!G110</f>
        <v>Газосчетчик TZR-2-U 40 куб.м.</v>
      </c>
      <c r="D296" s="5">
        <f>Source!I110</f>
        <v>1</v>
      </c>
      <c r="E296" s="29">
        <f>Source!AB110</f>
        <v>1862.644</v>
      </c>
      <c r="F296" s="29">
        <f>Source!AD110</f>
        <v>0</v>
      </c>
      <c r="G296" s="6">
        <f>Source!O110</f>
        <v>1862.64</v>
      </c>
      <c r="H296" s="6">
        <f>Source!S110</f>
        <v>0</v>
      </c>
      <c r="I296" s="30">
        <f>Source!Q110</f>
        <v>0</v>
      </c>
      <c r="J296" s="29">
        <f>Source!AH110</f>
        <v>0</v>
      </c>
      <c r="K296" s="30">
        <f>Source!U110</f>
        <v>0</v>
      </c>
      <c r="L296">
        <v>1330.46</v>
      </c>
    </row>
    <row r="297" spans="3:12" ht="12.75">
      <c r="C297" s="28" t="str">
        <f>Source!H110</f>
        <v>ШТ</v>
      </c>
      <c r="D297" s="5"/>
      <c r="E297" s="5">
        <f>Source!AF110</f>
        <v>0</v>
      </c>
      <c r="F297" s="5">
        <f>Source!AE110</f>
        <v>0</v>
      </c>
      <c r="G297" s="6"/>
      <c r="H297" s="6"/>
      <c r="I297" s="6">
        <f>Source!R110</f>
        <v>0</v>
      </c>
      <c r="J297" s="5">
        <f>Source!AI110</f>
        <v>0</v>
      </c>
      <c r="K297" s="6">
        <f>Source!V110</f>
        <v>0</v>
      </c>
      <c r="L297">
        <f>G296/L296*100</f>
        <v>139.9996993521038</v>
      </c>
    </row>
    <row r="298" spans="1:11" ht="24">
      <c r="A298" s="26" t="str">
        <f>Source!E111</f>
        <v>2</v>
      </c>
      <c r="B298" s="26">
        <f>Source!F111</f>
      </c>
      <c r="C298" s="27" t="str">
        <f>Source!G111</f>
        <v>Сигнализатор загазованности САОГ-К-65</v>
      </c>
      <c r="D298" s="5">
        <f>Source!I111</f>
        <v>1</v>
      </c>
      <c r="E298" s="29">
        <f>Source!AB111</f>
        <v>10358.516</v>
      </c>
      <c r="F298" s="29">
        <f>Source!AD111</f>
        <v>0</v>
      </c>
      <c r="G298" s="6">
        <f>Source!O111</f>
        <v>10358.52</v>
      </c>
      <c r="H298" s="6">
        <f>Source!S111</f>
        <v>0</v>
      </c>
      <c r="I298" s="30">
        <f>Source!Q111</f>
        <v>0</v>
      </c>
      <c r="J298" s="29">
        <f>Source!AH111</f>
        <v>0</v>
      </c>
      <c r="K298" s="30">
        <f>Source!U111</f>
        <v>0</v>
      </c>
    </row>
    <row r="299" spans="3:11" ht="12.75">
      <c r="C299" s="28" t="str">
        <f>Source!H111</f>
        <v>ШТ</v>
      </c>
      <c r="D299" s="5"/>
      <c r="E299" s="5">
        <f>Source!AF111</f>
        <v>0</v>
      </c>
      <c r="F299" s="5">
        <f>Source!AE111</f>
        <v>0</v>
      </c>
      <c r="G299" s="6"/>
      <c r="H299" s="6"/>
      <c r="I299" s="6">
        <f>Source!R111</f>
        <v>0</v>
      </c>
      <c r="J299" s="5">
        <f>Source!AI111</f>
        <v>0</v>
      </c>
      <c r="K299" s="6">
        <f>Source!V111</f>
        <v>0</v>
      </c>
    </row>
    <row r="302" spans="3:11" ht="12.75">
      <c r="C302" s="33" t="s">
        <v>391</v>
      </c>
      <c r="D302" s="90" t="str">
        <f>IF(Source!C12="1",Source!F114,Source!G114)</f>
        <v>Оборудование</v>
      </c>
      <c r="E302" s="90"/>
      <c r="F302" s="90"/>
      <c r="G302" s="90"/>
      <c r="H302" s="90"/>
      <c r="I302" s="90"/>
      <c r="J302" s="90"/>
      <c r="K302" s="90"/>
    </row>
    <row r="304" spans="3:8" ht="12.75">
      <c r="C304" s="81" t="str">
        <f>Source!H116</f>
        <v>Прямые затраты</v>
      </c>
      <c r="D304" s="81"/>
      <c r="E304" s="81"/>
      <c r="F304" s="81"/>
      <c r="G304" s="7">
        <f>Source!F116</f>
        <v>12221.16</v>
      </c>
      <c r="H304" s="5"/>
    </row>
    <row r="306" spans="3:8" ht="12.75">
      <c r="C306" s="81" t="str">
        <f>Source!H117</f>
        <v>Стоимость материалов</v>
      </c>
      <c r="D306" s="81"/>
      <c r="E306" s="81"/>
      <c r="F306" s="81"/>
      <c r="G306" s="7">
        <f>Source!F117</f>
        <v>12221.16</v>
      </c>
      <c r="H306" s="5"/>
    </row>
    <row r="308" spans="3:8" ht="12.75">
      <c r="C308" s="81" t="str">
        <f>Source!H126</f>
        <v>Сметная прибыль</v>
      </c>
      <c r="D308" s="81"/>
      <c r="E308" s="81"/>
      <c r="F308" s="81"/>
      <c r="G308" s="7">
        <f>Source!F126</f>
        <v>0</v>
      </c>
      <c r="H308" s="5"/>
    </row>
    <row r="312" spans="3:11" ht="12.75">
      <c r="C312" s="33" t="s">
        <v>392</v>
      </c>
      <c r="D312" s="90" t="str">
        <f>IF(Source!C12="1",Source!F142,Source!G142)</f>
        <v>Котельная в с. Филипповка Мелекесского района</v>
      </c>
      <c r="E312" s="90"/>
      <c r="F312" s="90"/>
      <c r="G312" s="90"/>
      <c r="H312" s="90"/>
      <c r="I312" s="90"/>
      <c r="J312" s="90"/>
      <c r="K312" s="90"/>
    </row>
    <row r="314" spans="3:8" ht="12.75">
      <c r="C314" s="81" t="str">
        <f>Source!H144</f>
        <v>Прямые затраты</v>
      </c>
      <c r="D314" s="81"/>
      <c r="E314" s="81"/>
      <c r="F314" s="81"/>
      <c r="G314" s="7">
        <f>Source!F144</f>
        <v>24690.55</v>
      </c>
      <c r="H314" s="5"/>
    </row>
    <row r="316" spans="3:12" ht="12.75">
      <c r="C316" s="81" t="str">
        <f>Source!H145</f>
        <v>Стоимость материалов</v>
      </c>
      <c r="D316" s="81"/>
      <c r="E316" s="81"/>
      <c r="F316" s="81"/>
      <c r="G316" s="7">
        <f>Source!F145</f>
        <v>24007.48</v>
      </c>
      <c r="H316" s="5"/>
      <c r="L316">
        <v>17148.2</v>
      </c>
    </row>
    <row r="317" ht="12.75">
      <c r="L317">
        <f>G316/L316*100</f>
        <v>140</v>
      </c>
    </row>
    <row r="318" spans="3:8" ht="12.75">
      <c r="C318" s="81" t="str">
        <f>Source!H146</f>
        <v>Эксплуатация машин</v>
      </c>
      <c r="D318" s="81"/>
      <c r="E318" s="81"/>
      <c r="F318" s="81"/>
      <c r="G318" s="7">
        <f>Source!F146</f>
        <v>76.12</v>
      </c>
      <c r="H318" s="5"/>
    </row>
    <row r="320" spans="3:8" ht="12.75">
      <c r="C320" s="81" t="str">
        <f>Source!H147</f>
        <v>ЗП машинистов</v>
      </c>
      <c r="D320" s="81"/>
      <c r="E320" s="81"/>
      <c r="F320" s="81"/>
      <c r="G320" s="7">
        <f>Source!F147</f>
        <v>10.07</v>
      </c>
      <c r="H320" s="5"/>
    </row>
    <row r="322" spans="3:8" ht="12.75">
      <c r="C322" s="81" t="str">
        <f>Source!H148</f>
        <v>Основная ЗП рабочих</v>
      </c>
      <c r="D322" s="81"/>
      <c r="E322" s="81"/>
      <c r="F322" s="81"/>
      <c r="G322" s="7">
        <f>Source!F148</f>
        <v>606.95</v>
      </c>
      <c r="H322" s="5"/>
    </row>
    <row r="324" spans="3:8" ht="12.75">
      <c r="C324" s="81" t="str">
        <f>Source!H150</f>
        <v>Трудозатраты строителей</v>
      </c>
      <c r="D324" s="81"/>
      <c r="E324" s="81"/>
      <c r="F324" s="81"/>
      <c r="G324" s="7">
        <f>Source!F150</f>
        <v>54.31</v>
      </c>
      <c r="H324" s="5"/>
    </row>
    <row r="326" spans="3:8" ht="12.75">
      <c r="C326" s="81" t="str">
        <f>Source!H151</f>
        <v>Трудозатраты машинистов</v>
      </c>
      <c r="D326" s="81"/>
      <c r="E326" s="81"/>
      <c r="F326" s="81"/>
      <c r="G326" s="7">
        <f>Source!F151</f>
        <v>0.68</v>
      </c>
      <c r="H326" s="5"/>
    </row>
    <row r="328" spans="3:8" ht="12.75">
      <c r="C328" s="81" t="str">
        <f>Source!H153</f>
        <v>Накладные расходы</v>
      </c>
      <c r="D328" s="81"/>
      <c r="E328" s="81"/>
      <c r="F328" s="81"/>
      <c r="G328" s="7">
        <f>Source!F153</f>
        <v>753.44</v>
      </c>
      <c r="H328" s="5"/>
    </row>
    <row r="330" spans="3:8" ht="12.75">
      <c r="C330" s="81" t="str">
        <f>Source!H154</f>
        <v>Сметная прибыль</v>
      </c>
      <c r="D330" s="81"/>
      <c r="E330" s="81"/>
      <c r="F330" s="81"/>
      <c r="G330" s="7">
        <f>Source!F154</f>
        <v>487.53</v>
      </c>
      <c r="H330" s="5"/>
    </row>
    <row r="332" spans="3:8" ht="12.75">
      <c r="C332" s="81" t="str">
        <f>Source!H155</f>
        <v>Индекс к материалам</v>
      </c>
      <c r="D332" s="81"/>
      <c r="E332" s="81"/>
      <c r="F332" s="81"/>
      <c r="G332" s="7">
        <f>Source!F155</f>
        <v>3.04</v>
      </c>
      <c r="H332" s="5"/>
    </row>
    <row r="334" spans="3:8" ht="12.75">
      <c r="C334" s="81" t="str">
        <f>Source!H156</f>
        <v>Индекс к эксплуатации машин и механизмов</v>
      </c>
      <c r="D334" s="81"/>
      <c r="E334" s="81"/>
      <c r="F334" s="81"/>
      <c r="G334" s="7">
        <f>Source!F156</f>
        <v>2.6</v>
      </c>
      <c r="H334" s="5"/>
    </row>
    <row r="336" spans="3:8" ht="12.75">
      <c r="C336" s="81" t="str">
        <f>Source!H157</f>
        <v>Индекс к основной заработной плате</v>
      </c>
      <c r="D336" s="81"/>
      <c r="E336" s="81"/>
      <c r="F336" s="81"/>
      <c r="G336" s="7">
        <f>Source!F157</f>
        <v>4.36</v>
      </c>
      <c r="H336" s="5"/>
    </row>
    <row r="338" spans="3:8" ht="12.75">
      <c r="C338" s="81" t="str">
        <f>Source!H159</f>
        <v>Прямые затраты с учетом индекса, руб.</v>
      </c>
      <c r="D338" s="81"/>
      <c r="E338" s="81"/>
      <c r="F338" s="81"/>
      <c r="G338" s="7">
        <f>Source!F159</f>
        <v>75826.95</v>
      </c>
      <c r="H338" s="5"/>
    </row>
    <row r="340" spans="3:12" ht="12.75">
      <c r="C340" s="81" t="str">
        <f>Source!H160</f>
        <v>Стоимость материалов с учетом индекса, руб.</v>
      </c>
      <c r="D340" s="81"/>
      <c r="E340" s="81"/>
      <c r="F340" s="81"/>
      <c r="G340" s="7">
        <f>Source!F160</f>
        <v>72982.74</v>
      </c>
      <c r="H340" s="5"/>
      <c r="L340">
        <v>52130.53</v>
      </c>
    </row>
    <row r="341" ht="12.75">
      <c r="L341">
        <f>G340/L340*100</f>
        <v>139.99999616347657</v>
      </c>
    </row>
    <row r="342" spans="3:8" ht="12.75">
      <c r="C342" s="81" t="str">
        <f>Source!H163</f>
        <v>Эксплуатация машин с учетом индекса, руб.</v>
      </c>
      <c r="D342" s="81"/>
      <c r="E342" s="81"/>
      <c r="F342" s="81"/>
      <c r="G342" s="7">
        <f>Source!F163</f>
        <v>197.91</v>
      </c>
      <c r="H342" s="5"/>
    </row>
    <row r="344" spans="3:8" ht="12.75">
      <c r="C344" s="81" t="str">
        <f>Source!H164</f>
        <v>Зарплата машинистов с учетом индекса, руб.</v>
      </c>
      <c r="D344" s="81"/>
      <c r="E344" s="81"/>
      <c r="F344" s="81"/>
      <c r="G344" s="7">
        <f>Source!F164</f>
        <v>26.18</v>
      </c>
      <c r="H344" s="5"/>
    </row>
    <row r="346" spans="3:8" ht="12.75">
      <c r="C346" s="81" t="str">
        <f>Source!H165</f>
        <v>Основная зарплата рабочих с учетом индекса, руб.</v>
      </c>
      <c r="D346" s="81"/>
      <c r="E346" s="81"/>
      <c r="F346" s="81"/>
      <c r="G346" s="7">
        <f>Source!F165</f>
        <v>2646.3</v>
      </c>
      <c r="H346" s="5"/>
    </row>
    <row r="348" spans="3:8" ht="12.75">
      <c r="C348" s="81" t="str">
        <f>Source!H166</f>
        <v>Накладные расходы с учетом индекса, руб.</v>
      </c>
      <c r="D348" s="81"/>
      <c r="E348" s="81"/>
      <c r="F348" s="81"/>
      <c r="G348" s="7">
        <f>Source!F166</f>
        <v>3263.35</v>
      </c>
      <c r="H348" s="5"/>
    </row>
    <row r="350" spans="3:8" ht="12.75">
      <c r="C350" s="81" t="str">
        <f>Source!H167</f>
        <v>Сметная прибыль с учетом индекса, руб.</v>
      </c>
      <c r="D350" s="81"/>
      <c r="E350" s="81"/>
      <c r="F350" s="81"/>
      <c r="G350" s="7">
        <f>Source!F167</f>
        <v>2111.62</v>
      </c>
      <c r="H350" s="5"/>
    </row>
    <row r="352" spans="3:8" ht="12.75">
      <c r="C352" s="81" t="str">
        <f>Source!H168</f>
        <v>Итого в текущих ценах</v>
      </c>
      <c r="D352" s="81"/>
      <c r="E352" s="81"/>
      <c r="F352" s="81"/>
      <c r="G352" s="7">
        <f>Source!F168</f>
        <v>81201.92</v>
      </c>
      <c r="H352" s="5"/>
    </row>
    <row r="354" spans="3:8" ht="12.75">
      <c r="C354" s="81" t="str">
        <f>Source!H169</f>
        <v>Временные здания и сооружения 3,1% от СМР (ГСН81-05-01-2001)</v>
      </c>
      <c r="D354" s="81"/>
      <c r="E354" s="81"/>
      <c r="F354" s="81"/>
      <c r="G354" s="7">
        <f>Source!F169</f>
        <v>1365.54</v>
      </c>
      <c r="H354" s="5"/>
    </row>
    <row r="356" spans="3:8" ht="12.75">
      <c r="C356" s="81" t="str">
        <f>Source!H170</f>
        <v>Зимнее удорожание 2,2% от СМР (ГСН81-05-02-2001)</v>
      </c>
      <c r="D356" s="81"/>
      <c r="E356" s="81"/>
      <c r="F356" s="81"/>
      <c r="G356" s="7">
        <f>Source!F170</f>
        <v>969.09</v>
      </c>
      <c r="H356" s="5"/>
    </row>
    <row r="358" spans="3:8" ht="12.75">
      <c r="C358" s="81" t="str">
        <f>Source!H171</f>
        <v>Итого с временными и зимнем удорожанием</v>
      </c>
      <c r="D358" s="81"/>
      <c r="E358" s="81"/>
      <c r="F358" s="81"/>
      <c r="G358" s="7">
        <f>Source!F171</f>
        <v>83536.55</v>
      </c>
      <c r="H358" s="5"/>
    </row>
    <row r="360" spans="3:8" ht="12.75">
      <c r="C360" s="81" t="str">
        <f>Source!H172</f>
        <v>Непредвиденные расходы 1%  (МДС81-35.20-04)</v>
      </c>
      <c r="D360" s="81"/>
      <c r="E360" s="81"/>
      <c r="F360" s="81"/>
      <c r="G360" s="7">
        <f>Source!F172</f>
        <v>835.37</v>
      </c>
      <c r="H360" s="5"/>
    </row>
    <row r="362" spans="3:8" ht="12.75">
      <c r="C362" s="81" t="str">
        <f>Source!H173</f>
        <v>ИТОГО ПО СМЕТЕ, руб.</v>
      </c>
      <c r="D362" s="81"/>
      <c r="E362" s="81"/>
      <c r="F362" s="81"/>
      <c r="G362" s="7">
        <f>Source!F173</f>
        <v>84371.92</v>
      </c>
      <c r="H362" s="5"/>
    </row>
    <row r="364" spans="3:8" ht="12.75">
      <c r="C364" s="81" t="str">
        <f>Source!H174</f>
        <v>НДС, %</v>
      </c>
      <c r="D364" s="81"/>
      <c r="E364" s="81"/>
      <c r="F364" s="81"/>
      <c r="G364" s="7">
        <f>Source!F174</f>
        <v>18</v>
      </c>
      <c r="H364" s="5"/>
    </row>
    <row r="366" spans="3:8" ht="12.75">
      <c r="C366" s="81" t="str">
        <f>Source!H175</f>
        <v>Сумма НДС, руб.</v>
      </c>
      <c r="D366" s="81"/>
      <c r="E366" s="81"/>
      <c r="F366" s="81"/>
      <c r="G366" s="7">
        <f>Source!F175</f>
        <v>15186.95</v>
      </c>
      <c r="H366" s="5"/>
    </row>
    <row r="368" spans="3:8" ht="12.75">
      <c r="C368" s="81" t="str">
        <f>Source!H176</f>
        <v>Итого с НДС, руб.</v>
      </c>
      <c r="D368" s="81"/>
      <c r="E368" s="81"/>
      <c r="F368" s="81"/>
      <c r="G368" s="7">
        <f>Source!F176</f>
        <v>99558.87</v>
      </c>
      <c r="H368" s="5"/>
    </row>
    <row r="370" spans="1:6" s="57" customFormat="1" ht="12.75">
      <c r="A370" s="57" t="s">
        <v>393</v>
      </c>
      <c r="C370" s="58" t="s">
        <v>408</v>
      </c>
      <c r="D370" s="58"/>
      <c r="E370" s="58"/>
      <c r="F370" s="57" t="s">
        <v>409</v>
      </c>
    </row>
    <row r="371" spans="3:5" s="34" customFormat="1" ht="11.25">
      <c r="C371" s="86" t="s">
        <v>394</v>
      </c>
      <c r="D371" s="86"/>
      <c r="E371" s="86"/>
    </row>
    <row r="373" spans="1:6" s="57" customFormat="1" ht="12.75">
      <c r="A373" s="57" t="s">
        <v>395</v>
      </c>
      <c r="C373" s="44" t="s">
        <v>410</v>
      </c>
      <c r="D373" s="58"/>
      <c r="E373" s="58"/>
      <c r="F373" s="57" t="s">
        <v>411</v>
      </c>
    </row>
    <row r="374" spans="3:5" s="34" customFormat="1" ht="11.25">
      <c r="C374" s="86" t="s">
        <v>394</v>
      </c>
      <c r="D374" s="86"/>
      <c r="E374" s="86"/>
    </row>
    <row r="376" spans="3:6" s="57" customFormat="1" ht="12.75">
      <c r="C376" s="44" t="s">
        <v>412</v>
      </c>
      <c r="F376" s="59" t="s">
        <v>413</v>
      </c>
    </row>
    <row r="377" spans="3:5" s="34" customFormat="1" ht="11.25">
      <c r="C377" s="86" t="s">
        <v>394</v>
      </c>
      <c r="D377" s="86"/>
      <c r="E377" s="86"/>
    </row>
    <row r="378" spans="3:8" ht="12.75">
      <c r="C378" s="81"/>
      <c r="D378" s="81"/>
      <c r="E378" s="81"/>
      <c r="F378" s="81"/>
      <c r="G378" s="7"/>
      <c r="H378" s="5"/>
    </row>
    <row r="380" spans="3:8" ht="12.75">
      <c r="C380" s="81"/>
      <c r="D380" s="81"/>
      <c r="E380" s="81"/>
      <c r="F380" s="81"/>
      <c r="G380" s="7"/>
      <c r="H380" s="5"/>
    </row>
    <row r="382" spans="3:8" ht="12.75">
      <c r="C382" s="81"/>
      <c r="D382" s="81"/>
      <c r="E382" s="81"/>
      <c r="F382" s="81"/>
      <c r="G382" s="7"/>
      <c r="H382" s="5"/>
    </row>
  </sheetData>
  <mergeCells count="79">
    <mergeCell ref="C377:E377"/>
    <mergeCell ref="D14:K14"/>
    <mergeCell ref="D8:K8"/>
    <mergeCell ref="C368:F368"/>
    <mergeCell ref="C360:F360"/>
    <mergeCell ref="C362:F362"/>
    <mergeCell ref="C364:F364"/>
    <mergeCell ref="C366:F366"/>
    <mergeCell ref="C352:F352"/>
    <mergeCell ref="C354:F354"/>
    <mergeCell ref="C356:F356"/>
    <mergeCell ref="C358:F358"/>
    <mergeCell ref="C344:F344"/>
    <mergeCell ref="C346:F346"/>
    <mergeCell ref="C348:F348"/>
    <mergeCell ref="C350:F350"/>
    <mergeCell ref="C336:F336"/>
    <mergeCell ref="C338:F338"/>
    <mergeCell ref="C340:F340"/>
    <mergeCell ref="C342:F342"/>
    <mergeCell ref="C328:F328"/>
    <mergeCell ref="C330:F330"/>
    <mergeCell ref="C332:F332"/>
    <mergeCell ref="C334:F334"/>
    <mergeCell ref="C320:F320"/>
    <mergeCell ref="C322:F322"/>
    <mergeCell ref="C324:F324"/>
    <mergeCell ref="C326:F326"/>
    <mergeCell ref="D312:K312"/>
    <mergeCell ref="C314:F314"/>
    <mergeCell ref="C316:F316"/>
    <mergeCell ref="C318:F318"/>
    <mergeCell ref="C289:F289"/>
    <mergeCell ref="C306:F306"/>
    <mergeCell ref="C308:F308"/>
    <mergeCell ref="C291:F291"/>
    <mergeCell ref="D294:K294"/>
    <mergeCell ref="D302:K302"/>
    <mergeCell ref="C304:F304"/>
    <mergeCell ref="C281:F281"/>
    <mergeCell ref="C283:F283"/>
    <mergeCell ref="C285:F285"/>
    <mergeCell ref="C287:F287"/>
    <mergeCell ref="D273:K273"/>
    <mergeCell ref="C275:F275"/>
    <mergeCell ref="C277:F277"/>
    <mergeCell ref="C279:F279"/>
    <mergeCell ref="C244:F244"/>
    <mergeCell ref="C246:F246"/>
    <mergeCell ref="C248:F248"/>
    <mergeCell ref="D251:K251"/>
    <mergeCell ref="C236:F236"/>
    <mergeCell ref="C238:F238"/>
    <mergeCell ref="C240:F240"/>
    <mergeCell ref="C242:F242"/>
    <mergeCell ref="C207:F207"/>
    <mergeCell ref="D210:K210"/>
    <mergeCell ref="D232:K232"/>
    <mergeCell ref="C234:F234"/>
    <mergeCell ref="D189:K189"/>
    <mergeCell ref="C378:F378"/>
    <mergeCell ref="C191:F191"/>
    <mergeCell ref="C193:F193"/>
    <mergeCell ref="C195:F195"/>
    <mergeCell ref="C197:F197"/>
    <mergeCell ref="C199:F199"/>
    <mergeCell ref="C201:F201"/>
    <mergeCell ref="C203:F203"/>
    <mergeCell ref="C205:F205"/>
    <mergeCell ref="C380:F380"/>
    <mergeCell ref="C382:F382"/>
    <mergeCell ref="H1:I1"/>
    <mergeCell ref="H4:K4"/>
    <mergeCell ref="C371:E371"/>
    <mergeCell ref="C374:E374"/>
    <mergeCell ref="A11:K11"/>
    <mergeCell ref="A12:K12"/>
    <mergeCell ref="C16:K16"/>
    <mergeCell ref="D26:K26"/>
  </mergeCells>
  <printOptions/>
  <pageMargins left="0.56" right="0.29" top="0.39" bottom="0.34" header="0.21" footer="0.19"/>
  <pageSetup fitToHeight="0" fitToWidth="1" horizontalDpi="600" verticalDpi="600" orientation="portrait" paperSize="9" scale="85" r:id="rId1"/>
  <headerFooter alignWithMargins="0">
    <oddHeader>&amp;L&amp;8ЗАО "Промсервис"  Доп. раб. место  FStS-0019551</oddHeader>
    <oddFooter>&amp;R&amp;P</oddFooter>
  </headerFooter>
  <rowBreaks count="1" manualBreakCount="1">
    <brk id="3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7"/>
  <sheetViews>
    <sheetView showZeros="0" tabSelected="1"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55.57421875" style="0" customWidth="1"/>
    <col min="4" max="4" width="8.140625" style="0" customWidth="1"/>
    <col min="7" max="7" width="9.7109375" style="0" customWidth="1"/>
    <col min="8" max="8" width="7.7109375" style="0" customWidth="1"/>
    <col min="9" max="9" width="8.140625" style="0" customWidth="1"/>
    <col min="10" max="10" width="8.7109375" style="0" customWidth="1"/>
    <col min="11" max="11" width="8.140625" style="0" customWidth="1"/>
    <col min="12" max="12" width="10.28125" style="0" bestFit="1" customWidth="1"/>
    <col min="13" max="13" width="11.00390625" style="0" customWidth="1"/>
    <col min="16" max="21" width="9.57421875" style="0" bestFit="1" customWidth="1"/>
    <col min="22" max="22" width="12.8515625" style="0" customWidth="1"/>
  </cols>
  <sheetData>
    <row r="1" spans="2:12" ht="15">
      <c r="B1" s="70" t="s">
        <v>420</v>
      </c>
      <c r="C1" s="71"/>
      <c r="D1" s="72"/>
      <c r="E1" s="73"/>
      <c r="F1" s="70" t="s">
        <v>400</v>
      </c>
      <c r="G1" s="71"/>
      <c r="J1" s="75"/>
      <c r="K1" s="43"/>
      <c r="L1" s="44"/>
    </row>
    <row r="2" spans="2:12" ht="15">
      <c r="B2" s="70" t="s">
        <v>421</v>
      </c>
      <c r="C2" s="71"/>
      <c r="D2" s="72"/>
      <c r="E2" s="73"/>
      <c r="F2" s="92" t="s">
        <v>422</v>
      </c>
      <c r="G2" s="93"/>
      <c r="H2" s="93"/>
      <c r="I2" s="93"/>
      <c r="J2" s="93"/>
      <c r="K2" s="43"/>
      <c r="L2" s="44"/>
    </row>
    <row r="3" spans="2:12" ht="15">
      <c r="B3" s="70" t="s">
        <v>423</v>
      </c>
      <c r="C3" s="71"/>
      <c r="D3" s="72"/>
      <c r="E3" s="73"/>
      <c r="F3" s="92" t="s">
        <v>424</v>
      </c>
      <c r="G3" s="93"/>
      <c r="H3" s="93"/>
      <c r="I3" s="93"/>
      <c r="J3" s="93"/>
      <c r="K3" s="43"/>
      <c r="L3" s="44"/>
    </row>
    <row r="4" spans="2:12" ht="15">
      <c r="B4" s="70" t="s">
        <v>428</v>
      </c>
      <c r="C4" s="71"/>
      <c r="D4" s="72"/>
      <c r="E4" s="77"/>
      <c r="F4" s="76"/>
      <c r="G4" s="77"/>
      <c r="H4" s="47"/>
      <c r="I4" s="78"/>
      <c r="J4" s="78"/>
      <c r="K4" s="51"/>
      <c r="L4" s="44"/>
    </row>
    <row r="5" spans="2:12" ht="15">
      <c r="B5" s="70" t="s">
        <v>432</v>
      </c>
      <c r="C5" s="71"/>
      <c r="D5" s="72"/>
      <c r="E5" s="74"/>
      <c r="F5" s="79"/>
      <c r="G5" s="74"/>
      <c r="H5" s="80"/>
      <c r="I5" s="80"/>
      <c r="J5" s="80"/>
      <c r="K5" s="43"/>
      <c r="L5" s="44"/>
    </row>
    <row r="6" spans="5:13" ht="14.25">
      <c r="E6" s="37"/>
      <c r="F6" s="54"/>
      <c r="G6" s="54"/>
      <c r="H6" s="54"/>
      <c r="I6" s="55"/>
      <c r="J6" s="56"/>
      <c r="K6" s="50"/>
      <c r="L6" s="51"/>
      <c r="M6" s="51"/>
    </row>
    <row r="7" spans="1:8" ht="15.75">
      <c r="A7" s="94" t="s">
        <v>430</v>
      </c>
      <c r="B7" s="94"/>
      <c r="C7" s="94"/>
      <c r="D7" s="94"/>
      <c r="E7" s="94"/>
      <c r="F7" s="94"/>
      <c r="G7" s="94"/>
      <c r="H7" s="94"/>
    </row>
    <row r="8" spans="1:11" ht="12.75" customHeight="1">
      <c r="A8" s="94" t="s">
        <v>425</v>
      </c>
      <c r="B8" s="94"/>
      <c r="C8" s="94"/>
      <c r="D8" s="94"/>
      <c r="E8" s="94"/>
      <c r="F8" s="94"/>
      <c r="G8" s="94"/>
      <c r="H8" s="67"/>
      <c r="I8" s="67"/>
      <c r="J8" s="67"/>
      <c r="K8" s="67"/>
    </row>
    <row r="10" spans="1:11" ht="15" customHeight="1">
      <c r="A10" s="68"/>
      <c r="B10" s="68"/>
      <c r="C10" s="91" t="s">
        <v>431</v>
      </c>
      <c r="D10" s="91"/>
      <c r="E10" s="91"/>
      <c r="F10" s="91"/>
      <c r="G10" s="91"/>
      <c r="H10" s="68"/>
      <c r="I10" s="68"/>
      <c r="J10" s="68"/>
      <c r="K10" s="68"/>
    </row>
    <row r="11" spans="1:11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3" spans="1:11" ht="12.75" customHeight="1">
      <c r="A13" s="4" t="s">
        <v>426</v>
      </c>
      <c r="D13" s="67"/>
      <c r="E13" s="67"/>
      <c r="F13" s="67"/>
      <c r="G13" s="67"/>
      <c r="H13" s="67"/>
      <c r="I13" s="67"/>
      <c r="J13" s="67"/>
      <c r="K13" s="67"/>
    </row>
    <row r="14" spans="7:11" ht="12.75">
      <c r="G14" t="s">
        <v>361</v>
      </c>
      <c r="J14">
        <v>96728.26</v>
      </c>
      <c r="K14" t="s">
        <v>427</v>
      </c>
    </row>
    <row r="15" spans="1:11" ht="12.75">
      <c r="A15" s="8"/>
      <c r="B15" s="8"/>
      <c r="C15" s="8"/>
      <c r="D15" s="8"/>
      <c r="E15" s="14" t="s">
        <v>371</v>
      </c>
      <c r="F15" s="13"/>
      <c r="G15" s="14" t="s">
        <v>379</v>
      </c>
      <c r="H15" s="12"/>
      <c r="I15" s="13"/>
      <c r="J15" s="20" t="s">
        <v>380</v>
      </c>
      <c r="K15" s="17"/>
    </row>
    <row r="16" spans="1:11" ht="12.75">
      <c r="A16" s="11" t="s">
        <v>363</v>
      </c>
      <c r="B16" s="11" t="s">
        <v>365</v>
      </c>
      <c r="C16" s="11" t="s">
        <v>367</v>
      </c>
      <c r="D16" s="11" t="s">
        <v>369</v>
      </c>
      <c r="E16" s="15"/>
      <c r="F16" s="15" t="s">
        <v>375</v>
      </c>
      <c r="G16" s="8"/>
      <c r="H16" s="8"/>
      <c r="I16" s="15" t="s">
        <v>375</v>
      </c>
      <c r="J16" s="21" t="s">
        <v>381</v>
      </c>
      <c r="K16" s="18"/>
    </row>
    <row r="17" spans="1:12" ht="12.75">
      <c r="A17" s="11" t="s">
        <v>364</v>
      </c>
      <c r="B17" s="11" t="s">
        <v>366</v>
      </c>
      <c r="C17" s="11" t="s">
        <v>368</v>
      </c>
      <c r="D17" s="11" t="s">
        <v>370</v>
      </c>
      <c r="E17" s="16" t="s">
        <v>372</v>
      </c>
      <c r="F17" s="16" t="s">
        <v>376</v>
      </c>
      <c r="G17" s="11" t="s">
        <v>372</v>
      </c>
      <c r="H17" s="11" t="s">
        <v>374</v>
      </c>
      <c r="I17" s="16" t="s">
        <v>376</v>
      </c>
      <c r="J17" s="22" t="s">
        <v>382</v>
      </c>
      <c r="K17" s="19"/>
      <c r="L17" s="60" t="s">
        <v>415</v>
      </c>
    </row>
    <row r="18" spans="1:12" ht="12.75">
      <c r="A18" s="9"/>
      <c r="B18" s="11" t="s">
        <v>398</v>
      </c>
      <c r="C18" s="9"/>
      <c r="D18" s="11"/>
      <c r="E18" s="15" t="s">
        <v>373</v>
      </c>
      <c r="F18" s="15" t="s">
        <v>377</v>
      </c>
      <c r="G18" s="11"/>
      <c r="H18" s="11"/>
      <c r="I18" s="15" t="s">
        <v>377</v>
      </c>
      <c r="J18" s="14" t="s">
        <v>383</v>
      </c>
      <c r="K18" s="23"/>
      <c r="L18" s="61" t="e">
        <f>'[1]Лист1'!$J$21+'[4]Лист1'!$J$19+'[5]Лист1'!$J$19</f>
        <v>#VALUE!</v>
      </c>
    </row>
    <row r="19" spans="1:11" ht="12.75">
      <c r="A19" s="10"/>
      <c r="B19" s="40" t="s">
        <v>399</v>
      </c>
      <c r="C19" s="10"/>
      <c r="D19" s="10"/>
      <c r="E19" s="16" t="s">
        <v>374</v>
      </c>
      <c r="F19" s="16" t="s">
        <v>378</v>
      </c>
      <c r="G19" s="10"/>
      <c r="H19" s="10"/>
      <c r="I19" s="16" t="s">
        <v>378</v>
      </c>
      <c r="J19" s="24" t="s">
        <v>384</v>
      </c>
      <c r="K19" s="24" t="s">
        <v>385</v>
      </c>
    </row>
    <row r="20" spans="1:11" ht="12.7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</row>
    <row r="21" ht="12.75">
      <c r="L21" t="s">
        <v>385</v>
      </c>
    </row>
    <row r="22" spans="3:12" ht="15.75">
      <c r="C22" s="25" t="s">
        <v>386</v>
      </c>
      <c r="D22" s="89" t="str">
        <f>IF(Source!C12="1",Source!F24,Source!G24)</f>
        <v>Сантехнические работы</v>
      </c>
      <c r="E22" s="89"/>
      <c r="F22" s="89"/>
      <c r="G22" s="89"/>
      <c r="H22" s="89"/>
      <c r="I22" s="89"/>
      <c r="J22" s="89"/>
      <c r="K22" s="89"/>
      <c r="L22" s="61" t="e">
        <f>#REF!+L18</f>
        <v>#REF!</v>
      </c>
    </row>
    <row r="23" ht="12.75">
      <c r="L23" t="s">
        <v>418</v>
      </c>
    </row>
    <row r="24" spans="1:21" ht="24">
      <c r="A24" s="26" t="str">
        <f>Source!E28</f>
        <v>1</v>
      </c>
      <c r="B24" s="26" t="str">
        <f>Source!F28</f>
        <v>16-02-003-1</v>
      </c>
      <c r="C24" s="27" t="str">
        <f>Source!G28</f>
        <v>Прокладка трубопроводов газоснабжения из стальных водогазопроводных неоцинкованных труб диаметром 15 мм</v>
      </c>
      <c r="D24" s="5">
        <f>Source!I28</f>
        <v>0.005</v>
      </c>
      <c r="E24" s="29">
        <f>Source!AB28</f>
        <v>4800.906499999999</v>
      </c>
      <c r="F24" s="29">
        <f>Source!AD28</f>
        <v>60.625</v>
      </c>
      <c r="G24" s="6">
        <f>Source!O28</f>
        <v>24</v>
      </c>
      <c r="H24" s="6">
        <f>Source!S28</f>
        <v>1.71</v>
      </c>
      <c r="I24" s="30">
        <f>Source!Q28</f>
        <v>0.3</v>
      </c>
      <c r="J24" s="29">
        <f>Source!AH28</f>
        <v>30.91</v>
      </c>
      <c r="K24" s="30">
        <f>Source!U28</f>
        <v>0.15</v>
      </c>
      <c r="L24" s="61">
        <f>G329+'[2]Лист1'!G370+'[1]Лист1'!G331+'[4]Лист1'!G388</f>
        <v>394820.97</v>
      </c>
      <c r="M24" s="61">
        <f>L329+'[2]Лист1'!L370+'[1]Лист1'!L331+'[4]Лист1'!L388</f>
        <v>282015.04</v>
      </c>
      <c r="O24" s="61"/>
      <c r="P24" s="61"/>
      <c r="S24" s="61">
        <f>I329+'[2]Лист1'!I370+'[1]Лист1'!I331+'[4]Лист1'!I388</f>
        <v>0</v>
      </c>
      <c r="T24" s="61">
        <f>J329+'[2]Лист1'!J370+'[1]Лист1'!J331+'[4]Лист1'!J388</f>
        <v>0</v>
      </c>
      <c r="U24" s="61">
        <f>K329+'[2]Лист1'!K370+'[1]Лист1'!K331+'[4]Лист1'!K388</f>
        <v>0</v>
      </c>
    </row>
    <row r="25" spans="3:13" ht="12.75">
      <c r="C25" s="28" t="str">
        <f>Source!H28</f>
        <v>100 м</v>
      </c>
      <c r="D25" s="5"/>
      <c r="E25" s="5">
        <f>Source!AF28</f>
        <v>341.60749999999996</v>
      </c>
      <c r="F25" s="5">
        <f>Source!AE28</f>
        <v>8.7125</v>
      </c>
      <c r="G25" s="6"/>
      <c r="H25" s="6"/>
      <c r="I25" s="7">
        <f>Source!R28</f>
        <v>0.04</v>
      </c>
      <c r="J25" s="5">
        <f>Source!AI28</f>
        <v>0.59</v>
      </c>
      <c r="K25" s="6">
        <f>Source!V28</f>
        <v>0</v>
      </c>
      <c r="M25">
        <f>L24/M24*100</f>
        <v>139.9999695051725</v>
      </c>
    </row>
    <row r="26" spans="3:4" ht="12.75">
      <c r="C26" s="31" t="s">
        <v>387</v>
      </c>
      <c r="D26" s="32" t="str">
        <f>Source!BO28</f>
        <v>16-02-003-1</v>
      </c>
    </row>
    <row r="27" spans="3:4" ht="12.75">
      <c r="C27" s="31" t="s">
        <v>388</v>
      </c>
      <c r="D27" s="31" t="str">
        <f>Source!DE28</f>
        <v>)*1,25</v>
      </c>
    </row>
    <row r="28" spans="3:4" ht="12.75">
      <c r="C28" s="31" t="s">
        <v>389</v>
      </c>
      <c r="D28" s="31" t="str">
        <f>Source!DF28</f>
        <v>)*1,25</v>
      </c>
    </row>
    <row r="29" spans="3:4" ht="12.75">
      <c r="C29" s="31" t="s">
        <v>390</v>
      </c>
      <c r="D29" s="31" t="str">
        <f>Source!DG28</f>
        <v>)*1,15</v>
      </c>
    </row>
    <row r="30" spans="3:7" ht="12.75">
      <c r="C30" s="35" t="s">
        <v>396</v>
      </c>
      <c r="D30" s="4">
        <f>Source!AT28</f>
        <v>128</v>
      </c>
      <c r="E30" s="4"/>
      <c r="F30" s="4"/>
      <c r="G30" s="36">
        <f>Source!X28</f>
        <v>2.24</v>
      </c>
    </row>
    <row r="31" spans="3:7" ht="12.75">
      <c r="C31" s="35" t="s">
        <v>397</v>
      </c>
      <c r="D31" s="4">
        <f>Source!AU28</f>
        <v>83</v>
      </c>
      <c r="E31" s="4"/>
      <c r="F31" s="4"/>
      <c r="G31" s="36">
        <f>Source!Y28</f>
        <v>1.45</v>
      </c>
    </row>
    <row r="33" spans="1:13" ht="24">
      <c r="A33" s="26" t="str">
        <f>Source!E29</f>
        <v>2</v>
      </c>
      <c r="B33" s="26" t="str">
        <f>Source!F29</f>
        <v>16-02-003-2</v>
      </c>
      <c r="C33" s="27" t="str">
        <f>Source!G29</f>
        <v>Прокладка трубопроводов газоснабжения из стальных водогазопроводных неоцинкованных труб диаметром 20 мм</v>
      </c>
      <c r="D33" s="5">
        <f>Source!I29</f>
        <v>0.05</v>
      </c>
      <c r="E33" s="29">
        <f>Source!AB29</f>
        <v>5025.760499999999</v>
      </c>
      <c r="F33" s="29">
        <f>Source!AD29</f>
        <v>60.625</v>
      </c>
      <c r="G33" s="6">
        <f>Source!O29</f>
        <v>251.29</v>
      </c>
      <c r="H33" s="6">
        <f>Source!S29</f>
        <v>17.08</v>
      </c>
      <c r="I33" s="30">
        <f>Source!Q29</f>
        <v>3.03</v>
      </c>
      <c r="J33" s="29">
        <f>Source!AH29</f>
        <v>30.91</v>
      </c>
      <c r="K33" s="30">
        <f>Source!U29</f>
        <v>1.55</v>
      </c>
      <c r="L33" t="s">
        <v>417</v>
      </c>
      <c r="M33">
        <v>947.39</v>
      </c>
    </row>
    <row r="34" spans="3:11" ht="12.75">
      <c r="C34" s="28" t="str">
        <f>Source!H29</f>
        <v>100 м</v>
      </c>
      <c r="D34" s="5"/>
      <c r="E34" s="5">
        <f>Source!AF29</f>
        <v>341.60749999999996</v>
      </c>
      <c r="F34" s="5">
        <f>Source!AE29</f>
        <v>8.7125</v>
      </c>
      <c r="G34" s="6"/>
      <c r="H34" s="6"/>
      <c r="I34" s="6">
        <f>Source!R29</f>
        <v>0.44</v>
      </c>
      <c r="J34" s="5">
        <f>Source!AI29</f>
        <v>0.59</v>
      </c>
      <c r="K34" s="6">
        <f>Source!V29</f>
        <v>0.03</v>
      </c>
    </row>
    <row r="35" spans="3:4" ht="12.75">
      <c r="C35" s="31" t="s">
        <v>387</v>
      </c>
      <c r="D35" s="32" t="str">
        <f>Source!BO29</f>
        <v>16-02-003-2</v>
      </c>
    </row>
    <row r="36" spans="3:4" ht="12.75">
      <c r="C36" s="31" t="s">
        <v>388</v>
      </c>
      <c r="D36" s="31" t="str">
        <f>Source!DE29</f>
        <v>)*1,25</v>
      </c>
    </row>
    <row r="37" spans="3:4" ht="12.75">
      <c r="C37" s="31" t="s">
        <v>389</v>
      </c>
      <c r="D37" s="31" t="str">
        <f>Source!DF29</f>
        <v>)*1,25</v>
      </c>
    </row>
    <row r="38" spans="3:4" ht="12.75">
      <c r="C38" s="31" t="s">
        <v>390</v>
      </c>
      <c r="D38" s="31" t="str">
        <f>Source!DG29</f>
        <v>)*1,15</v>
      </c>
    </row>
    <row r="39" spans="3:7" ht="12.75">
      <c r="C39" s="35" t="s">
        <v>396</v>
      </c>
      <c r="D39" s="4">
        <f>Source!AT29</f>
        <v>128</v>
      </c>
      <c r="E39" s="4"/>
      <c r="F39" s="4"/>
      <c r="G39" s="36">
        <f>Source!X29</f>
        <v>22.43</v>
      </c>
    </row>
    <row r="40" spans="3:7" ht="12.75">
      <c r="C40" s="35" t="s">
        <v>397</v>
      </c>
      <c r="D40" s="4">
        <f>Source!AU29</f>
        <v>83</v>
      </c>
      <c r="E40" s="4"/>
      <c r="F40" s="4"/>
      <c r="G40" s="36">
        <f>Source!Y29</f>
        <v>14.54</v>
      </c>
    </row>
    <row r="42" spans="1:11" ht="24">
      <c r="A42" s="26" t="str">
        <f>Source!E30</f>
        <v>3</v>
      </c>
      <c r="B42" s="26" t="str">
        <f>Source!F30</f>
        <v>16-02-003-3</v>
      </c>
      <c r="C42" s="27" t="str">
        <f>Source!G30</f>
        <v>Прокладка трубопроводов газоснабжения из стальных водогазопроводных неоцинкованных труб диаметром 25 мм</v>
      </c>
      <c r="D42" s="5">
        <f>Source!I30</f>
        <v>0.06</v>
      </c>
      <c r="E42" s="29">
        <f>Source!AB30</f>
        <v>5199.094499999999</v>
      </c>
      <c r="F42" s="29">
        <f>Source!AD30</f>
        <v>60.625</v>
      </c>
      <c r="G42" s="6">
        <f>Source!O30</f>
        <v>311.95</v>
      </c>
      <c r="H42" s="6">
        <f>Source!S30</f>
        <v>20.5</v>
      </c>
      <c r="I42" s="30">
        <f>Source!Q30</f>
        <v>3.64</v>
      </c>
      <c r="J42" s="29">
        <f>Source!AH30</f>
        <v>30.91</v>
      </c>
      <c r="K42" s="30">
        <f>Source!U30</f>
        <v>1.85</v>
      </c>
    </row>
    <row r="43" spans="3:11" ht="12.75">
      <c r="C43" s="28" t="str">
        <f>Source!H30</f>
        <v>100 м</v>
      </c>
      <c r="D43" s="5"/>
      <c r="E43" s="5">
        <f>Source!AF30</f>
        <v>341.60749999999996</v>
      </c>
      <c r="F43" s="5">
        <f>Source!AE30</f>
        <v>8.7125</v>
      </c>
      <c r="G43" s="6"/>
      <c r="H43" s="6"/>
      <c r="I43" s="6">
        <f>Source!R30</f>
        <v>0.52</v>
      </c>
      <c r="J43" s="5">
        <f>Source!AI30</f>
        <v>0.59</v>
      </c>
      <c r="K43" s="6">
        <f>Source!V30</f>
        <v>0.04</v>
      </c>
    </row>
    <row r="44" spans="3:4" ht="12.75">
      <c r="C44" s="31" t="s">
        <v>387</v>
      </c>
      <c r="D44" s="32" t="str">
        <f>Source!BO30</f>
        <v>16-02-003-3</v>
      </c>
    </row>
    <row r="45" spans="3:4" ht="12.75">
      <c r="C45" s="31" t="s">
        <v>388</v>
      </c>
      <c r="D45" s="31" t="str">
        <f>Source!DE30</f>
        <v>)*1,25</v>
      </c>
    </row>
    <row r="46" spans="3:4" ht="12.75">
      <c r="C46" s="31" t="s">
        <v>389</v>
      </c>
      <c r="D46" s="31" t="str">
        <f>Source!DF30</f>
        <v>)*1,25</v>
      </c>
    </row>
    <row r="47" spans="3:4" ht="12.75">
      <c r="C47" s="31" t="s">
        <v>390</v>
      </c>
      <c r="D47" s="31" t="str">
        <f>Source!DG30</f>
        <v>)*1,15</v>
      </c>
    </row>
    <row r="48" spans="3:7" ht="12.75">
      <c r="C48" s="35" t="s">
        <v>396</v>
      </c>
      <c r="D48" s="4">
        <f>Source!AT30</f>
        <v>128</v>
      </c>
      <c r="E48" s="4"/>
      <c r="F48" s="4"/>
      <c r="G48" s="36">
        <f>Source!X30</f>
        <v>26.91</v>
      </c>
    </row>
    <row r="49" spans="3:7" ht="12.75">
      <c r="C49" s="35" t="s">
        <v>397</v>
      </c>
      <c r="D49" s="4">
        <f>Source!AU30</f>
        <v>83</v>
      </c>
      <c r="E49" s="4"/>
      <c r="F49" s="4"/>
      <c r="G49" s="36">
        <f>Source!Y30</f>
        <v>17.45</v>
      </c>
    </row>
    <row r="51" spans="1:11" ht="24">
      <c r="A51" s="26" t="str">
        <f>Source!E31</f>
        <v>4</v>
      </c>
      <c r="B51" s="26" t="str">
        <f>Source!F31</f>
        <v>16-02-005-5</v>
      </c>
      <c r="C51" s="27" t="str">
        <f>Source!G31</f>
        <v>Прокладка трубопроводов отопления и водоснабжения из стальных электросварных труб диаметром 100 мм</v>
      </c>
      <c r="D51" s="5">
        <f>Source!I31</f>
        <v>0.08</v>
      </c>
      <c r="E51" s="29">
        <f>Source!AB31</f>
        <v>19449.5285</v>
      </c>
      <c r="F51" s="29">
        <f>Source!AD31</f>
        <v>199.46249999999998</v>
      </c>
      <c r="G51" s="6">
        <f>Source!O31</f>
        <v>1555.97</v>
      </c>
      <c r="H51" s="6">
        <f>Source!S31</f>
        <v>71.61</v>
      </c>
      <c r="I51" s="30">
        <f>Source!Q31</f>
        <v>15.96</v>
      </c>
      <c r="J51" s="29">
        <f>Source!AH31</f>
        <v>79.75</v>
      </c>
      <c r="K51" s="30">
        <f>Source!U31</f>
        <v>6.38</v>
      </c>
    </row>
    <row r="52" spans="3:11" ht="12.75">
      <c r="C52" s="28" t="str">
        <f>Source!H31</f>
        <v>100 м</v>
      </c>
      <c r="D52" s="5"/>
      <c r="E52" s="5">
        <f>Source!AF31</f>
        <v>895.1139999999999</v>
      </c>
      <c r="F52" s="5">
        <f>Source!AE31</f>
        <v>26.125</v>
      </c>
      <c r="G52" s="6"/>
      <c r="H52" s="6"/>
      <c r="I52" s="6">
        <f>Source!R31</f>
        <v>2.09</v>
      </c>
      <c r="J52" s="5">
        <f>Source!AI31</f>
        <v>1.77</v>
      </c>
      <c r="K52" s="6">
        <f>Source!V31</f>
        <v>0.14</v>
      </c>
    </row>
    <row r="53" spans="3:4" ht="12.75">
      <c r="C53" s="31" t="s">
        <v>387</v>
      </c>
      <c r="D53" s="32" t="str">
        <f>Source!BO31</f>
        <v>16-02-005-5</v>
      </c>
    </row>
    <row r="54" spans="3:4" ht="12.75">
      <c r="C54" s="31" t="s">
        <v>388</v>
      </c>
      <c r="D54" s="31" t="str">
        <f>Source!DE31</f>
        <v>)*1,25</v>
      </c>
    </row>
    <row r="55" spans="3:4" ht="12.75">
      <c r="C55" s="31" t="s">
        <v>389</v>
      </c>
      <c r="D55" s="31" t="str">
        <f>Source!DF31</f>
        <v>)*1,25</v>
      </c>
    </row>
    <row r="56" spans="3:4" ht="12.75">
      <c r="C56" s="31" t="s">
        <v>390</v>
      </c>
      <c r="D56" s="31" t="str">
        <f>Source!DG31</f>
        <v>)*1,15</v>
      </c>
    </row>
    <row r="57" spans="3:7" ht="12.75">
      <c r="C57" s="35" t="s">
        <v>396</v>
      </c>
      <c r="D57" s="4">
        <f>Source!AT31</f>
        <v>128</v>
      </c>
      <c r="E57" s="4"/>
      <c r="F57" s="4"/>
      <c r="G57" s="36">
        <f>Source!X31</f>
        <v>94.34</v>
      </c>
    </row>
    <row r="58" spans="3:7" ht="12.75">
      <c r="C58" s="35" t="s">
        <v>397</v>
      </c>
      <c r="D58" s="4">
        <f>Source!AU31</f>
        <v>83</v>
      </c>
      <c r="E58" s="4"/>
      <c r="F58" s="4"/>
      <c r="G58" s="36">
        <f>Source!Y31</f>
        <v>61.17</v>
      </c>
    </row>
    <row r="60" spans="1:11" ht="24">
      <c r="A60" s="26" t="str">
        <f>Source!E32</f>
        <v>5</v>
      </c>
      <c r="B60" s="26" t="str">
        <f>Source!F32</f>
        <v>16-02-005-2</v>
      </c>
      <c r="C60" s="27" t="str">
        <f>Source!G32</f>
        <v>Прокладка трубопроводов отопления и водоснабжения из стальных электросварных труб диаметром 50 мм</v>
      </c>
      <c r="D60" s="5">
        <f>Source!I32</f>
        <v>0.1</v>
      </c>
      <c r="E60" s="29">
        <f>Source!AB32</f>
        <v>8712.133499999998</v>
      </c>
      <c r="F60" s="29">
        <f>Source!AD32</f>
        <v>114.5625</v>
      </c>
      <c r="G60" s="6">
        <f>Source!O32</f>
        <v>871.22</v>
      </c>
      <c r="H60" s="6">
        <f>Source!S32</f>
        <v>68.28</v>
      </c>
      <c r="I60" s="30">
        <f>Source!Q32</f>
        <v>11.46</v>
      </c>
      <c r="J60" s="29">
        <f>Source!AH32</f>
        <v>60.83</v>
      </c>
      <c r="K60" s="30">
        <f>Source!U32</f>
        <v>6.08</v>
      </c>
    </row>
    <row r="61" spans="3:11" ht="12.75">
      <c r="C61" s="28" t="str">
        <f>Source!H32</f>
        <v>100 м</v>
      </c>
      <c r="D61" s="5"/>
      <c r="E61" s="5">
        <f>Source!AF32</f>
        <v>682.755</v>
      </c>
      <c r="F61" s="5">
        <f>Source!AE32</f>
        <v>15.649999999999999</v>
      </c>
      <c r="G61" s="6"/>
      <c r="H61" s="6"/>
      <c r="I61" s="6">
        <f>Source!R32</f>
        <v>1.57</v>
      </c>
      <c r="J61" s="5">
        <f>Source!AI32</f>
        <v>1.06</v>
      </c>
      <c r="K61" s="6">
        <f>Source!V32</f>
        <v>0.11</v>
      </c>
    </row>
    <row r="62" spans="3:4" ht="12.75">
      <c r="C62" s="31" t="s">
        <v>387</v>
      </c>
      <c r="D62" s="32" t="str">
        <f>Source!BO32</f>
        <v>16-02-005-2</v>
      </c>
    </row>
    <row r="63" spans="3:4" ht="12.75">
      <c r="C63" s="31" t="s">
        <v>388</v>
      </c>
      <c r="D63" s="31" t="str">
        <f>Source!DE32</f>
        <v>)*1,25</v>
      </c>
    </row>
    <row r="64" spans="3:4" ht="12.75">
      <c r="C64" s="31" t="s">
        <v>389</v>
      </c>
      <c r="D64" s="31" t="str">
        <f>Source!DF32</f>
        <v>)*1,25</v>
      </c>
    </row>
    <row r="65" spans="3:4" ht="12.75">
      <c r="C65" s="31" t="s">
        <v>390</v>
      </c>
      <c r="D65" s="31" t="str">
        <f>Source!DG32</f>
        <v>)*1,15</v>
      </c>
    </row>
    <row r="66" spans="3:7" ht="12.75">
      <c r="C66" s="35" t="s">
        <v>396</v>
      </c>
      <c r="D66" s="4">
        <f>Source!AT32</f>
        <v>128</v>
      </c>
      <c r="E66" s="4"/>
      <c r="F66" s="4"/>
      <c r="G66" s="36">
        <f>Source!X32</f>
        <v>89.41</v>
      </c>
    </row>
    <row r="67" spans="3:7" ht="12.75">
      <c r="C67" s="35" t="s">
        <v>397</v>
      </c>
      <c r="D67" s="4">
        <f>Source!AU32</f>
        <v>83</v>
      </c>
      <c r="E67" s="4"/>
      <c r="F67" s="4"/>
      <c r="G67" s="36">
        <f>Source!Y32</f>
        <v>57.98</v>
      </c>
    </row>
    <row r="69" spans="1:11" ht="12.75">
      <c r="A69" s="26" t="str">
        <f>Source!E33</f>
        <v>6</v>
      </c>
      <c r="B69" s="26" t="str">
        <f>Source!F33</f>
        <v>19-01-015-1</v>
      </c>
      <c r="C69" s="27" t="str">
        <f>Source!G33</f>
        <v>Пневматическое испытание газопроводов</v>
      </c>
      <c r="D69" s="5">
        <f>Source!I33</f>
        <v>0.295</v>
      </c>
      <c r="E69" s="29">
        <f>Source!AB33</f>
        <v>514.9575</v>
      </c>
      <c r="F69" s="29">
        <f>Source!AD33</f>
        <v>0</v>
      </c>
      <c r="G69" s="6">
        <f>Source!O33</f>
        <v>151.92</v>
      </c>
      <c r="H69" s="6">
        <f>Source!S33</f>
        <v>133.32</v>
      </c>
      <c r="I69" s="30">
        <f>Source!Q33</f>
        <v>0</v>
      </c>
      <c r="J69" s="29">
        <f>Source!AH33</f>
        <v>34.9</v>
      </c>
      <c r="K69" s="30">
        <f>Source!U33</f>
        <v>10.3</v>
      </c>
    </row>
    <row r="70" spans="3:11" ht="12.75">
      <c r="C70" s="28" t="str">
        <f>Source!H33</f>
        <v>100 м</v>
      </c>
      <c r="D70" s="5"/>
      <c r="E70" s="5">
        <f>Source!AF33</f>
        <v>451.9155</v>
      </c>
      <c r="F70" s="5">
        <f>Source!AE33</f>
        <v>0</v>
      </c>
      <c r="G70" s="6"/>
      <c r="H70" s="6"/>
      <c r="I70" s="6">
        <f>Source!R33</f>
        <v>0</v>
      </c>
      <c r="J70" s="5">
        <f>Source!AI33</f>
        <v>0</v>
      </c>
      <c r="K70" s="6">
        <f>Source!V33</f>
        <v>0</v>
      </c>
    </row>
    <row r="71" spans="3:4" ht="12.75">
      <c r="C71" s="31" t="s">
        <v>387</v>
      </c>
      <c r="D71" s="32" t="str">
        <f>Source!BO33</f>
        <v>19-01-015-1</v>
      </c>
    </row>
    <row r="72" spans="3:4" ht="12.75">
      <c r="C72" s="31" t="s">
        <v>388</v>
      </c>
      <c r="D72" s="31" t="str">
        <f>Source!DE33</f>
        <v>)*1,25</v>
      </c>
    </row>
    <row r="73" spans="3:4" ht="12.75">
      <c r="C73" s="31" t="s">
        <v>389</v>
      </c>
      <c r="D73" s="31" t="str">
        <f>Source!DF33</f>
        <v>)*1,25</v>
      </c>
    </row>
    <row r="74" spans="3:4" ht="12.75">
      <c r="C74" s="31" t="s">
        <v>390</v>
      </c>
      <c r="D74" s="31" t="str">
        <f>Source!DG33</f>
        <v>)*1,15</v>
      </c>
    </row>
    <row r="75" spans="3:7" ht="12.75">
      <c r="C75" s="35" t="s">
        <v>396</v>
      </c>
      <c r="D75" s="4">
        <f>Source!AT33</f>
        <v>128</v>
      </c>
      <c r="E75" s="4"/>
      <c r="F75" s="4"/>
      <c r="G75" s="36">
        <f>Source!X33</f>
        <v>170.65</v>
      </c>
    </row>
    <row r="76" spans="3:7" ht="12.75">
      <c r="C76" s="35" t="s">
        <v>397</v>
      </c>
      <c r="D76" s="4">
        <f>Source!AU33</f>
        <v>83</v>
      </c>
      <c r="E76" s="4"/>
      <c r="F76" s="4"/>
      <c r="G76" s="36">
        <f>Source!Y33</f>
        <v>110.66</v>
      </c>
    </row>
    <row r="78" spans="1:11" ht="36">
      <c r="A78" s="26" t="str">
        <f>Source!E34</f>
        <v>7</v>
      </c>
      <c r="B78" s="26" t="str">
        <f>Source!F34</f>
        <v>16-05-001-1</v>
      </c>
      <c r="C78" s="27" t="str">
        <f>Source!G34</f>
        <v>Установка вентилей, задвижек, затворов, клапанов обратных, кранов проходных на трубопроводах из стальных труб диаметром до 25 мм</v>
      </c>
      <c r="D78" s="5">
        <f>Source!I34</f>
        <v>5</v>
      </c>
      <c r="E78" s="29">
        <f>Source!AB34</f>
        <v>80.0295</v>
      </c>
      <c r="F78" s="29">
        <f>Source!AD34</f>
        <v>2.05</v>
      </c>
      <c r="G78" s="6">
        <f>Source!O34</f>
        <v>400.15</v>
      </c>
      <c r="H78" s="6">
        <f>Source!S34</f>
        <v>76.65</v>
      </c>
      <c r="I78" s="30">
        <f>Source!Q34</f>
        <v>10.25</v>
      </c>
      <c r="J78" s="29">
        <f>Source!AH34</f>
        <v>1.47</v>
      </c>
      <c r="K78" s="30">
        <f>Source!U34</f>
        <v>7.35</v>
      </c>
    </row>
    <row r="79" spans="3:11" ht="12.75">
      <c r="C79" s="28" t="str">
        <f>Source!H34</f>
        <v>шт.</v>
      </c>
      <c r="D79" s="5"/>
      <c r="E79" s="5">
        <f>Source!AF34</f>
        <v>15.3295</v>
      </c>
      <c r="F79" s="5">
        <f>Source!AE34</f>
        <v>0.15</v>
      </c>
      <c r="G79" s="6"/>
      <c r="H79" s="6"/>
      <c r="I79" s="6">
        <f>Source!R34</f>
        <v>0.75</v>
      </c>
      <c r="J79" s="5">
        <f>Source!AI34</f>
        <v>0.01</v>
      </c>
      <c r="K79" s="6">
        <f>Source!V34</f>
        <v>0.05</v>
      </c>
    </row>
    <row r="80" spans="3:4" ht="12.75">
      <c r="C80" s="31" t="s">
        <v>387</v>
      </c>
      <c r="D80" s="32" t="str">
        <f>Source!BO34</f>
        <v>16-05-001-1</v>
      </c>
    </row>
    <row r="81" spans="3:4" ht="12.75">
      <c r="C81" s="31" t="s">
        <v>388</v>
      </c>
      <c r="D81" s="31" t="str">
        <f>Source!DE34</f>
        <v>)*1,25</v>
      </c>
    </row>
    <row r="82" spans="3:4" ht="12.75">
      <c r="C82" s="31" t="s">
        <v>389</v>
      </c>
      <c r="D82" s="31" t="str">
        <f>Source!DF34</f>
        <v>)*1,25</v>
      </c>
    </row>
    <row r="83" spans="3:4" ht="12.75">
      <c r="C83" s="31" t="s">
        <v>390</v>
      </c>
      <c r="D83" s="31" t="str">
        <f>Source!DG34</f>
        <v>)*1,15</v>
      </c>
    </row>
    <row r="84" spans="3:7" ht="12.75">
      <c r="C84" s="35" t="s">
        <v>396</v>
      </c>
      <c r="D84" s="4">
        <f>Source!AT34</f>
        <v>128</v>
      </c>
      <c r="E84" s="4"/>
      <c r="F84" s="4"/>
      <c r="G84" s="36">
        <f>Source!X34</f>
        <v>99.07</v>
      </c>
    </row>
    <row r="85" spans="3:7" ht="12.75">
      <c r="C85" s="35" t="s">
        <v>397</v>
      </c>
      <c r="D85" s="4">
        <f>Source!AU34</f>
        <v>83</v>
      </c>
      <c r="E85" s="4"/>
      <c r="F85" s="4"/>
      <c r="G85" s="36">
        <f>Source!Y34</f>
        <v>64.24</v>
      </c>
    </row>
    <row r="87" spans="1:11" ht="24">
      <c r="A87" s="26" t="str">
        <f>Source!E35</f>
        <v>7,1</v>
      </c>
      <c r="B87" s="26">
        <f>Source!F35</f>
        <v>0</v>
      </c>
      <c r="C87" s="27" t="str">
        <f>Source!G35</f>
        <v>Краны проходные натяжные муфтовые латунные 11б12бк1 для газа давлением 9,8 кПа (0,1 кгс/см2), диаметром 15,25 мм</v>
      </c>
      <c r="D87" s="5">
        <f>Source!I35</f>
        <v>2</v>
      </c>
      <c r="E87" s="29">
        <f>Source!AB35</f>
        <v>23.799999999999997</v>
      </c>
      <c r="F87" s="29">
        <f>Source!AD35</f>
        <v>0</v>
      </c>
      <c r="G87" s="6">
        <f>Source!O35</f>
        <v>47.6</v>
      </c>
      <c r="H87" s="6"/>
      <c r="I87" s="30">
        <f>Source!Q35</f>
        <v>0</v>
      </c>
      <c r="J87" s="29">
        <f>Source!AH35</f>
        <v>0</v>
      </c>
      <c r="K87" s="30">
        <f>Source!U35</f>
        <v>0</v>
      </c>
    </row>
    <row r="88" spans="3:11" ht="12.75">
      <c r="C88" s="28" t="str">
        <f>Source!H35</f>
        <v>ШТ</v>
      </c>
      <c r="D88" s="5"/>
      <c r="E88" s="5">
        <f>Source!AF35</f>
        <v>0</v>
      </c>
      <c r="F88" s="5">
        <f>Source!AE35</f>
        <v>0</v>
      </c>
      <c r="G88" s="6"/>
      <c r="H88" s="6"/>
      <c r="I88" s="6">
        <f>Source!R35</f>
        <v>0</v>
      </c>
      <c r="J88" s="5">
        <f>Source!AI35</f>
        <v>0</v>
      </c>
      <c r="K88" s="6">
        <f>Source!V35</f>
        <v>0</v>
      </c>
    </row>
    <row r="89" spans="3:4" ht="12.75">
      <c r="C89" s="31" t="s">
        <v>388</v>
      </c>
      <c r="D89" s="31" t="str">
        <f>Source!DE35</f>
        <v>)*1,25</v>
      </c>
    </row>
    <row r="90" spans="3:4" ht="12.75">
      <c r="C90" s="31" t="s">
        <v>389</v>
      </c>
      <c r="D90" s="31" t="str">
        <f>Source!DF35</f>
        <v>)*1,25</v>
      </c>
    </row>
    <row r="91" spans="3:4" ht="12.75">
      <c r="C91" s="31" t="s">
        <v>390</v>
      </c>
      <c r="D91" s="31" t="str">
        <f>Source!DG35</f>
        <v>)*1,15</v>
      </c>
    </row>
    <row r="92" spans="1:11" ht="24">
      <c r="A92" s="26" t="str">
        <f>Source!E36</f>
        <v>7,2</v>
      </c>
      <c r="B92" s="26">
        <f>Source!F36</f>
        <v>0</v>
      </c>
      <c r="C92" s="27" t="str">
        <f>Source!G36</f>
        <v>Краны проходные натяжные муфтовые 11Ч3БК для газа, давлением 0,1 МПа (1 кгс/см2), диаметром 25 мм</v>
      </c>
      <c r="D92" s="5">
        <f>Source!I36</f>
        <v>3</v>
      </c>
      <c r="E92" s="29">
        <f>Source!AB36</f>
        <v>75.39</v>
      </c>
      <c r="F92" s="29">
        <f>Source!AD36</f>
        <v>0</v>
      </c>
      <c r="G92" s="6">
        <f>Source!O36</f>
        <v>226.17</v>
      </c>
      <c r="H92" s="6">
        <f>Source!S36</f>
        <v>0</v>
      </c>
      <c r="I92" s="30">
        <f>Source!Q36</f>
        <v>0</v>
      </c>
      <c r="J92" s="29">
        <f>Source!AH36</f>
        <v>0</v>
      </c>
      <c r="K92" s="30">
        <f>Source!U36</f>
        <v>0</v>
      </c>
    </row>
    <row r="93" spans="3:11" ht="12.75">
      <c r="C93" s="28" t="str">
        <f>Source!H36</f>
        <v>ШТ</v>
      </c>
      <c r="D93" s="5"/>
      <c r="E93" s="5">
        <f>Source!AF36</f>
        <v>0</v>
      </c>
      <c r="F93" s="5">
        <f>Source!AE36</f>
        <v>0</v>
      </c>
      <c r="G93" s="6"/>
      <c r="H93" s="6"/>
      <c r="I93" s="6">
        <f>Source!R36</f>
        <v>0</v>
      </c>
      <c r="J93" s="5">
        <f>Source!AI36</f>
        <v>0</v>
      </c>
      <c r="K93" s="6">
        <f>Source!V36</f>
        <v>0</v>
      </c>
    </row>
    <row r="94" spans="3:4" ht="12.75">
      <c r="C94" s="31" t="s">
        <v>388</v>
      </c>
      <c r="D94" s="31" t="str">
        <f>Source!DE36</f>
        <v>)*1,25</v>
      </c>
    </row>
    <row r="95" spans="3:4" ht="12.75">
      <c r="C95" s="31" t="s">
        <v>389</v>
      </c>
      <c r="D95" s="31" t="str">
        <f>Source!DF36</f>
        <v>)*1,25</v>
      </c>
    </row>
    <row r="96" spans="3:4" ht="12.75">
      <c r="C96" s="31" t="s">
        <v>390</v>
      </c>
      <c r="D96" s="31" t="str">
        <f>Source!DG36</f>
        <v>)*1,15</v>
      </c>
    </row>
    <row r="97" spans="1:11" ht="12.75">
      <c r="A97" s="26" t="str">
        <f>Source!E37</f>
        <v>7,3</v>
      </c>
      <c r="B97" s="26">
        <f>Source!F37</f>
        <v>0</v>
      </c>
      <c r="C97" s="27" t="str">
        <f>Source!G37</f>
        <v>Крепления для трубопроводов: кронштейны, планки, хомуты</v>
      </c>
      <c r="D97" s="5">
        <f>Source!I37</f>
        <v>48</v>
      </c>
      <c r="E97" s="29">
        <f>Source!AB37</f>
        <v>19.837999999999997</v>
      </c>
      <c r="F97" s="29">
        <f>Source!AD37</f>
        <v>0</v>
      </c>
      <c r="G97" s="6">
        <f>Source!O37</f>
        <v>952.22</v>
      </c>
      <c r="H97" s="6"/>
      <c r="I97" s="30">
        <f>Source!Q37</f>
        <v>0</v>
      </c>
      <c r="J97" s="29">
        <f>Source!AH37</f>
        <v>0</v>
      </c>
      <c r="K97" s="30">
        <f>Source!U37</f>
        <v>0</v>
      </c>
    </row>
    <row r="98" spans="3:11" ht="12.75">
      <c r="C98" s="28" t="str">
        <f>Source!H37</f>
        <v>ШТ</v>
      </c>
      <c r="D98" s="5"/>
      <c r="E98" s="5">
        <f>Source!AF37</f>
        <v>0</v>
      </c>
      <c r="F98" s="5">
        <f>Source!AE37</f>
        <v>0</v>
      </c>
      <c r="G98" s="6"/>
      <c r="H98" s="6"/>
      <c r="I98" s="6">
        <f>Source!R37</f>
        <v>0</v>
      </c>
      <c r="J98" s="5">
        <f>Source!AI37</f>
        <v>0</v>
      </c>
      <c r="K98" s="6">
        <f>Source!V37</f>
        <v>0</v>
      </c>
    </row>
    <row r="99" spans="3:4" ht="12.75">
      <c r="C99" s="31" t="s">
        <v>388</v>
      </c>
      <c r="D99" s="31" t="str">
        <f>Source!DE37</f>
        <v>)*1,25</v>
      </c>
    </row>
    <row r="100" spans="3:4" ht="12.75">
      <c r="C100" s="31" t="s">
        <v>389</v>
      </c>
      <c r="D100" s="31" t="str">
        <f>Source!DF37</f>
        <v>)*1,25</v>
      </c>
    </row>
    <row r="101" spans="3:4" ht="12.75">
      <c r="C101" s="31" t="s">
        <v>390</v>
      </c>
      <c r="D101" s="31" t="str">
        <f>Source!DG37</f>
        <v>)*1,15</v>
      </c>
    </row>
    <row r="102" spans="1:11" ht="24">
      <c r="A102" s="26" t="str">
        <f>Source!E38</f>
        <v>8</v>
      </c>
      <c r="B102" s="26" t="str">
        <f>Source!F38</f>
        <v>16-02-003-6</v>
      </c>
      <c r="C102" s="27" t="str">
        <f>Source!G38</f>
        <v>Прокладка трубопроводов газоснабжения из стальных водогазопроводных неоцинкованных труб диаметром 50 мм</v>
      </c>
      <c r="D102" s="5">
        <f>Source!I38</f>
        <v>0.004</v>
      </c>
      <c r="E102" s="29">
        <f>Source!AB38</f>
        <v>8841.01</v>
      </c>
      <c r="F102" s="29">
        <f>Source!AD38</f>
        <v>105.71249999999999</v>
      </c>
      <c r="G102" s="6">
        <f>Source!O38</f>
        <v>35.36</v>
      </c>
      <c r="H102" s="6">
        <f>Source!S38</f>
        <v>1.73</v>
      </c>
      <c r="I102" s="30">
        <f>Source!Q38</f>
        <v>0.42</v>
      </c>
      <c r="J102" s="29">
        <f>Source!AH38</f>
        <v>39.16</v>
      </c>
      <c r="K102" s="30">
        <f>Source!U38</f>
        <v>0.16</v>
      </c>
    </row>
    <row r="103" spans="3:11" ht="12.75">
      <c r="C103" s="28" t="str">
        <f>Source!H38</f>
        <v>100 м</v>
      </c>
      <c r="D103" s="5"/>
      <c r="E103" s="5">
        <f>Source!AF38</f>
        <v>432.7794999999999</v>
      </c>
      <c r="F103" s="5">
        <f>Source!AE38</f>
        <v>15.649999999999999</v>
      </c>
      <c r="G103" s="6"/>
      <c r="H103" s="6"/>
      <c r="I103" s="6">
        <f>Source!R38</f>
        <v>0.06</v>
      </c>
      <c r="J103" s="5">
        <f>Source!AI38</f>
        <v>1.06</v>
      </c>
      <c r="K103" s="6">
        <f>Source!V38</f>
        <v>0</v>
      </c>
    </row>
    <row r="104" spans="3:4" ht="12.75">
      <c r="C104" s="31" t="s">
        <v>387</v>
      </c>
      <c r="D104" s="32" t="str">
        <f>Source!BO38</f>
        <v>16-02-003-6</v>
      </c>
    </row>
    <row r="105" spans="3:4" ht="12.75">
      <c r="C105" s="31" t="s">
        <v>388</v>
      </c>
      <c r="D105" s="31" t="str">
        <f>Source!DE38</f>
        <v>)*1,25</v>
      </c>
    </row>
    <row r="106" spans="3:4" ht="12.75">
      <c r="C106" s="31" t="s">
        <v>389</v>
      </c>
      <c r="D106" s="31" t="str">
        <f>Source!DF38</f>
        <v>)*1,25</v>
      </c>
    </row>
    <row r="107" spans="3:4" ht="12.75">
      <c r="C107" s="31" t="s">
        <v>390</v>
      </c>
      <c r="D107" s="31" t="str">
        <f>Source!DG38</f>
        <v>)*1,15</v>
      </c>
    </row>
    <row r="108" spans="3:7" ht="12.75">
      <c r="C108" s="35" t="s">
        <v>396</v>
      </c>
      <c r="D108" s="4">
        <f>Source!AT38</f>
        <v>128</v>
      </c>
      <c r="E108" s="4"/>
      <c r="F108" s="4"/>
      <c r="G108" s="36">
        <f>Source!X38</f>
        <v>2.29</v>
      </c>
    </row>
    <row r="109" spans="3:7" ht="12.75">
      <c r="C109" s="35" t="s">
        <v>397</v>
      </c>
      <c r="D109" s="4">
        <f>Source!AU38</f>
        <v>83</v>
      </c>
      <c r="E109" s="4"/>
      <c r="F109" s="4"/>
      <c r="G109" s="36">
        <f>Source!Y38</f>
        <v>1.49</v>
      </c>
    </row>
    <row r="111" spans="1:11" ht="24">
      <c r="A111" s="26" t="str">
        <f>Source!E39</f>
        <v>9</v>
      </c>
      <c r="B111" s="26" t="str">
        <f>Source!F39</f>
        <v>16-02-002-10</v>
      </c>
      <c r="C111" s="27" t="str">
        <f>Source!G39</f>
        <v>Прокладка трубопроводов водоснабжения из стальных водогазопроводных оцинкованных труб диаметром 100 мм</v>
      </c>
      <c r="D111" s="5">
        <f>Source!I39</f>
        <v>0.004</v>
      </c>
      <c r="E111" s="29">
        <f>Source!AB39</f>
        <v>22414.565</v>
      </c>
      <c r="F111" s="29">
        <f>Source!AD39</f>
        <v>208.1375</v>
      </c>
      <c r="G111" s="6">
        <f>Source!O39</f>
        <v>89.65</v>
      </c>
      <c r="H111" s="6">
        <f>Source!S39</f>
        <v>3.23</v>
      </c>
      <c r="I111" s="30">
        <f>Source!Q39</f>
        <v>0.83</v>
      </c>
      <c r="J111" s="29">
        <f>Source!AH39</f>
        <v>76.59</v>
      </c>
      <c r="K111" s="30">
        <f>Source!U39</f>
        <v>0.31</v>
      </c>
    </row>
    <row r="112" spans="3:11" ht="12.75">
      <c r="C112" s="28" t="str">
        <f>Source!H39</f>
        <v>100 м</v>
      </c>
      <c r="D112" s="5"/>
      <c r="E112" s="5">
        <f>Source!AF39</f>
        <v>807.6795</v>
      </c>
      <c r="F112" s="5">
        <f>Source!AE39</f>
        <v>32.1875</v>
      </c>
      <c r="G112" s="6"/>
      <c r="H112" s="6"/>
      <c r="I112" s="6">
        <f>Source!R39</f>
        <v>0.13</v>
      </c>
      <c r="J112" s="5">
        <f>Source!AI39</f>
        <v>2.18</v>
      </c>
      <c r="K112" s="6">
        <f>Source!V39</f>
        <v>0.01</v>
      </c>
    </row>
    <row r="113" spans="3:4" ht="12.75">
      <c r="C113" s="31" t="s">
        <v>387</v>
      </c>
      <c r="D113" s="32" t="str">
        <f>Source!BO39</f>
        <v>16-02-002-10</v>
      </c>
    </row>
    <row r="114" spans="3:4" ht="12.75">
      <c r="C114" s="31" t="s">
        <v>388</v>
      </c>
      <c r="D114" s="31" t="str">
        <f>Source!DE39</f>
        <v>)*1,25</v>
      </c>
    </row>
    <row r="115" spans="3:4" ht="12.75">
      <c r="C115" s="31" t="s">
        <v>389</v>
      </c>
      <c r="D115" s="31" t="str">
        <f>Source!DF39</f>
        <v>)*1,25</v>
      </c>
    </row>
    <row r="116" spans="3:4" ht="12.75">
      <c r="C116" s="31" t="s">
        <v>390</v>
      </c>
      <c r="D116" s="31" t="str">
        <f>Source!DG39</f>
        <v>)*1,15</v>
      </c>
    </row>
    <row r="117" spans="3:7" ht="12.75">
      <c r="C117" s="35" t="s">
        <v>396</v>
      </c>
      <c r="D117" s="4">
        <f>Source!AT39</f>
        <v>128</v>
      </c>
      <c r="E117" s="4"/>
      <c r="F117" s="4"/>
      <c r="G117" s="36">
        <f>Source!X39</f>
        <v>4.3</v>
      </c>
    </row>
    <row r="118" spans="3:7" ht="12.75">
      <c r="C118" s="35" t="s">
        <v>397</v>
      </c>
      <c r="D118" s="4">
        <f>Source!AU39</f>
        <v>83</v>
      </c>
      <c r="E118" s="4"/>
      <c r="F118" s="4"/>
      <c r="G118" s="36">
        <f>Source!Y39</f>
        <v>2.79</v>
      </c>
    </row>
    <row r="120" spans="1:11" ht="24">
      <c r="A120" s="26" t="str">
        <f>Source!E40</f>
        <v>10</v>
      </c>
      <c r="B120" s="26" t="str">
        <f>Source!F40</f>
        <v>16-07-006-1</v>
      </c>
      <c r="C120" s="27" t="str">
        <f>Source!G40</f>
        <v>Заделка сальников при проходе труб через фундаменты или стены подвала диаметром до 100 мм</v>
      </c>
      <c r="D120" s="5">
        <f>Source!I40</f>
        <v>2</v>
      </c>
      <c r="E120" s="29">
        <f>Source!AB40</f>
        <v>23.203499999999995</v>
      </c>
      <c r="F120" s="29">
        <f>Source!AD40</f>
        <v>0</v>
      </c>
      <c r="G120" s="6">
        <f>Source!O40</f>
        <v>46.41</v>
      </c>
      <c r="H120" s="6">
        <f>Source!S40</f>
        <v>37.56</v>
      </c>
      <c r="I120" s="30">
        <f>Source!Q40</f>
        <v>0</v>
      </c>
      <c r="J120" s="29">
        <f>Source!AH40</f>
        <v>1.8</v>
      </c>
      <c r="K120" s="30">
        <f>Source!U40</f>
        <v>3.6</v>
      </c>
    </row>
    <row r="121" spans="3:11" ht="12.75">
      <c r="C121" s="28" t="str">
        <f>Source!H40</f>
        <v>шт.</v>
      </c>
      <c r="D121" s="5"/>
      <c r="E121" s="5">
        <f>Source!AF40</f>
        <v>18.779499999999995</v>
      </c>
      <c r="F121" s="5">
        <f>Source!AE40</f>
        <v>0</v>
      </c>
      <c r="G121" s="6"/>
      <c r="H121" s="6"/>
      <c r="I121" s="6">
        <f>Source!R40</f>
        <v>0</v>
      </c>
      <c r="J121" s="5">
        <f>Source!AI40</f>
        <v>0</v>
      </c>
      <c r="K121" s="6">
        <f>Source!V40</f>
        <v>0</v>
      </c>
    </row>
    <row r="122" spans="3:4" ht="12.75">
      <c r="C122" s="31" t="s">
        <v>387</v>
      </c>
      <c r="D122" s="32" t="str">
        <f>Source!BO40</f>
        <v>16-07-006-1</v>
      </c>
    </row>
    <row r="123" spans="3:4" ht="12.75">
      <c r="C123" s="31" t="s">
        <v>388</v>
      </c>
      <c r="D123" s="31" t="str">
        <f>Source!DE40</f>
        <v>)*1,25</v>
      </c>
    </row>
    <row r="124" spans="3:4" ht="12.75">
      <c r="C124" s="31" t="s">
        <v>389</v>
      </c>
      <c r="D124" s="31" t="str">
        <f>Source!DF40</f>
        <v>)*1,25</v>
      </c>
    </row>
    <row r="125" spans="3:4" ht="12.75">
      <c r="C125" s="31" t="s">
        <v>390</v>
      </c>
      <c r="D125" s="31" t="str">
        <f>Source!DG40</f>
        <v>)*1,15</v>
      </c>
    </row>
    <row r="126" spans="3:7" ht="12.75">
      <c r="C126" s="35" t="s">
        <v>396</v>
      </c>
      <c r="D126" s="4">
        <f>Source!AT40</f>
        <v>128</v>
      </c>
      <c r="E126" s="4"/>
      <c r="F126" s="4"/>
      <c r="G126" s="36">
        <f>Source!X40</f>
        <v>48.08</v>
      </c>
    </row>
    <row r="127" spans="3:7" ht="12.75">
      <c r="C127" s="35" t="s">
        <v>397</v>
      </c>
      <c r="D127" s="4">
        <f>Source!AU40</f>
        <v>83</v>
      </c>
      <c r="E127" s="4"/>
      <c r="F127" s="4"/>
      <c r="G127" s="36">
        <f>Source!Y40</f>
        <v>31.17</v>
      </c>
    </row>
    <row r="129" spans="1:11" ht="24">
      <c r="A129" s="26" t="str">
        <f>Source!E41</f>
        <v>11</v>
      </c>
      <c r="B129" s="26" t="str">
        <f>Source!F41</f>
        <v>16-02-007-4</v>
      </c>
      <c r="C129" s="27" t="str">
        <f>Source!G41</f>
        <v>Установка фланцевых соединений на стальных трубопроводах диаметром 100 мм</v>
      </c>
      <c r="D129" s="5">
        <f>Source!I41</f>
        <v>1</v>
      </c>
      <c r="E129" s="29">
        <f>Source!AB41</f>
        <v>24.3095</v>
      </c>
      <c r="F129" s="29">
        <f>Source!AD41</f>
        <v>3.525</v>
      </c>
      <c r="G129" s="6">
        <f>Source!O41</f>
        <v>24.31</v>
      </c>
      <c r="H129" s="6">
        <f>Source!S41</f>
        <v>16.64</v>
      </c>
      <c r="I129" s="30">
        <f>Source!Q41</f>
        <v>3.53</v>
      </c>
      <c r="J129" s="29">
        <f>Source!AH41</f>
        <v>1.46</v>
      </c>
      <c r="K129" s="30">
        <f>Source!U41</f>
        <v>1.46</v>
      </c>
    </row>
    <row r="130" spans="3:11" ht="12.75">
      <c r="C130" s="28" t="str">
        <f>Source!H41</f>
        <v>шт.</v>
      </c>
      <c r="D130" s="5"/>
      <c r="E130" s="5">
        <f>Source!AF41</f>
        <v>16.6405</v>
      </c>
      <c r="F130" s="5">
        <f>Source!AE41</f>
        <v>0.15</v>
      </c>
      <c r="G130" s="6"/>
      <c r="H130" s="6"/>
      <c r="I130" s="6">
        <f>Source!R41</f>
        <v>0.15</v>
      </c>
      <c r="J130" s="5">
        <f>Source!AI41</f>
        <v>0.01</v>
      </c>
      <c r="K130" s="6">
        <f>Source!V41</f>
        <v>0.01</v>
      </c>
    </row>
    <row r="131" spans="3:4" ht="12.75">
      <c r="C131" s="31" t="s">
        <v>387</v>
      </c>
      <c r="D131" s="32" t="str">
        <f>Source!BO41</f>
        <v>16-02-007-4</v>
      </c>
    </row>
    <row r="132" spans="3:4" ht="12.75">
      <c r="C132" s="31" t="s">
        <v>388</v>
      </c>
      <c r="D132" s="31" t="str">
        <f>Source!DE41</f>
        <v>)*1,25</v>
      </c>
    </row>
    <row r="133" spans="3:4" ht="12.75">
      <c r="C133" s="31" t="s">
        <v>389</v>
      </c>
      <c r="D133" s="31" t="str">
        <f>Source!DF41</f>
        <v>)*1,25</v>
      </c>
    </row>
    <row r="134" spans="3:4" ht="12.75">
      <c r="C134" s="31" t="s">
        <v>390</v>
      </c>
      <c r="D134" s="31" t="str">
        <f>Source!DG41</f>
        <v>)*1,15</v>
      </c>
    </row>
    <row r="135" spans="3:7" ht="12.75">
      <c r="C135" s="35" t="s">
        <v>396</v>
      </c>
      <c r="D135" s="4">
        <f>Source!AT41</f>
        <v>128</v>
      </c>
      <c r="E135" s="4"/>
      <c r="F135" s="4"/>
      <c r="G135" s="36">
        <f>Source!X41</f>
        <v>21.49</v>
      </c>
    </row>
    <row r="136" spans="3:7" ht="12.75">
      <c r="C136" s="35" t="s">
        <v>397</v>
      </c>
      <c r="D136" s="4">
        <f>Source!AU41</f>
        <v>83</v>
      </c>
      <c r="E136" s="4"/>
      <c r="F136" s="4"/>
      <c r="G136" s="36">
        <f>Source!Y41</f>
        <v>13.94</v>
      </c>
    </row>
    <row r="138" spans="1:11" ht="24">
      <c r="A138" s="26" t="str">
        <f>Source!E42</f>
        <v>11,1</v>
      </c>
      <c r="B138" s="26">
        <f>Source!F42</f>
        <v>0</v>
      </c>
      <c r="C138" s="27" t="str">
        <f>Source!G42</f>
        <v>Фланцы стальные плоские приварные из стали ВСт3сп2, ВСт3сп3; давлением 1.0 МПа (10 кгс/см2), диаметром 100 мм</v>
      </c>
      <c r="D138" s="5">
        <f>Source!I42</f>
        <v>1</v>
      </c>
      <c r="E138" s="29">
        <f>Source!AB42</f>
        <v>161.21</v>
      </c>
      <c r="F138" s="29">
        <f>Source!AD42</f>
        <v>0</v>
      </c>
      <c r="G138" s="6">
        <f>Source!O42</f>
        <v>161.21</v>
      </c>
      <c r="H138" s="6">
        <f>Source!S42</f>
        <v>0</v>
      </c>
      <c r="I138" s="30">
        <f>Source!Q42</f>
        <v>0</v>
      </c>
      <c r="J138" s="29">
        <f>Source!AH42</f>
        <v>0</v>
      </c>
      <c r="K138" s="30">
        <f>Source!U42</f>
        <v>0</v>
      </c>
    </row>
    <row r="139" spans="3:11" ht="12.75">
      <c r="C139" s="28" t="str">
        <f>Source!H42</f>
        <v>шт.</v>
      </c>
      <c r="D139" s="5"/>
      <c r="E139" s="5">
        <f>Source!AF42</f>
        <v>0</v>
      </c>
      <c r="F139" s="5">
        <f>Source!AE42</f>
        <v>0</v>
      </c>
      <c r="G139" s="6"/>
      <c r="H139" s="6"/>
      <c r="I139" s="6">
        <f>Source!R42</f>
        <v>0</v>
      </c>
      <c r="J139" s="5">
        <f>Source!AI42</f>
        <v>0</v>
      </c>
      <c r="K139" s="6">
        <f>Source!V42</f>
        <v>0</v>
      </c>
    </row>
    <row r="140" spans="3:4" ht="12.75">
      <c r="C140" s="31" t="s">
        <v>387</v>
      </c>
      <c r="D140" s="32" t="str">
        <f>Source!BO42</f>
        <v>300-0969</v>
      </c>
    </row>
    <row r="141" spans="3:4" ht="12.75">
      <c r="C141" s="31" t="s">
        <v>388</v>
      </c>
      <c r="D141" s="31" t="str">
        <f>Source!DE42</f>
        <v>)*1,25</v>
      </c>
    </row>
    <row r="142" spans="3:4" ht="12.75">
      <c r="C142" s="31" t="s">
        <v>389</v>
      </c>
      <c r="D142" s="31" t="str">
        <f>Source!DF42</f>
        <v>)*1,25</v>
      </c>
    </row>
    <row r="143" spans="3:4" ht="12.75">
      <c r="C143" s="31" t="s">
        <v>390</v>
      </c>
      <c r="D143" s="31" t="str">
        <f>Source!DG42</f>
        <v>)*1,15</v>
      </c>
    </row>
    <row r="144" spans="1:11" ht="36">
      <c r="A144" s="26" t="str">
        <f>Source!E43</f>
        <v>13</v>
      </c>
      <c r="B144" s="26" t="str">
        <f>Source!F43</f>
        <v>16-05-001-1</v>
      </c>
      <c r="C144" s="27" t="str">
        <f>Source!G43</f>
        <v>Установка вентилей, задвижек, затворов, клапанов обратных, кранов проходных на трубопроводах из стальных труб диаметром до 25 мм</v>
      </c>
      <c r="D144" s="5">
        <f>Source!I43</f>
        <v>1</v>
      </c>
      <c r="E144" s="29">
        <f>Source!AB43</f>
        <v>80.0295</v>
      </c>
      <c r="F144" s="29">
        <f>Source!AD43</f>
        <v>2.05</v>
      </c>
      <c r="G144" s="6">
        <f>Source!O43</f>
        <v>80.03</v>
      </c>
      <c r="H144" s="6">
        <f>Source!S43</f>
        <v>15.33</v>
      </c>
      <c r="I144" s="30">
        <f>Source!Q43</f>
        <v>2.05</v>
      </c>
      <c r="J144" s="29">
        <f>Source!AH43</f>
        <v>1.47</v>
      </c>
      <c r="K144" s="30">
        <f>Source!U43</f>
        <v>1.47</v>
      </c>
    </row>
    <row r="145" spans="3:11" ht="12.75">
      <c r="C145" s="28" t="str">
        <f>Source!H43</f>
        <v>шт.</v>
      </c>
      <c r="D145" s="5"/>
      <c r="E145" s="5">
        <f>Source!AF43</f>
        <v>15.3295</v>
      </c>
      <c r="F145" s="5">
        <f>Source!AE43</f>
        <v>0.15</v>
      </c>
      <c r="G145" s="6"/>
      <c r="H145" s="6"/>
      <c r="I145" s="6">
        <f>Source!R43</f>
        <v>0.15</v>
      </c>
      <c r="J145" s="5">
        <f>Source!AI43</f>
        <v>0.01</v>
      </c>
      <c r="K145" s="6">
        <f>Source!V43</f>
        <v>0.01</v>
      </c>
    </row>
    <row r="146" spans="3:4" ht="12.75">
      <c r="C146" s="31" t="s">
        <v>387</v>
      </c>
      <c r="D146" s="32" t="str">
        <f>Source!BO43</f>
        <v>16-05-001-1</v>
      </c>
    </row>
    <row r="147" spans="3:4" ht="12.75">
      <c r="C147" s="31" t="s">
        <v>388</v>
      </c>
      <c r="D147" s="31" t="str">
        <f>Source!DE43</f>
        <v>)*1,25</v>
      </c>
    </row>
    <row r="148" spans="3:4" ht="12.75">
      <c r="C148" s="31" t="s">
        <v>389</v>
      </c>
      <c r="D148" s="31" t="str">
        <f>Source!DF43</f>
        <v>)*1,25</v>
      </c>
    </row>
    <row r="149" spans="3:4" ht="12.75">
      <c r="C149" s="31" t="s">
        <v>390</v>
      </c>
      <c r="D149" s="31" t="str">
        <f>Source!DG43</f>
        <v>)*1,15</v>
      </c>
    </row>
    <row r="150" spans="3:7" ht="12.75">
      <c r="C150" s="35" t="s">
        <v>396</v>
      </c>
      <c r="D150" s="4">
        <f>Source!AT43</f>
        <v>128</v>
      </c>
      <c r="E150" s="4"/>
      <c r="F150" s="4"/>
      <c r="G150" s="36">
        <f>Source!X43</f>
        <v>19.81</v>
      </c>
    </row>
    <row r="151" spans="3:7" ht="12.75">
      <c r="C151" s="35" t="s">
        <v>397</v>
      </c>
      <c r="D151" s="4">
        <f>Source!AU43</f>
        <v>83</v>
      </c>
      <c r="E151" s="4"/>
      <c r="F151" s="4"/>
      <c r="G151" s="36">
        <f>Source!Y43</f>
        <v>12.85</v>
      </c>
    </row>
    <row r="153" spans="1:11" ht="24">
      <c r="A153" s="26" t="str">
        <f>Source!E44</f>
        <v>13,1</v>
      </c>
      <c r="B153" s="26">
        <f>Source!F44</f>
        <v>0</v>
      </c>
      <c r="C153" s="27" t="str">
        <f>Source!G44</f>
        <v>Задвижка Ду= 100мм 30с15нж</v>
      </c>
      <c r="D153" s="5">
        <f>Source!I44</f>
        <v>1</v>
      </c>
      <c r="E153" s="29">
        <f>Source!AB44</f>
        <v>1703.87</v>
      </c>
      <c r="F153" s="29">
        <f>Source!AD44</f>
        <v>0</v>
      </c>
      <c r="G153" s="6">
        <f>Source!O44</f>
        <v>1703.87</v>
      </c>
      <c r="H153" s="6">
        <f>Source!S44</f>
        <v>0</v>
      </c>
      <c r="I153" s="30">
        <f>Source!Q44</f>
        <v>0</v>
      </c>
      <c r="J153" s="29">
        <f>Source!AH44</f>
        <v>0</v>
      </c>
      <c r="K153" s="30">
        <f>Source!U44</f>
        <v>0</v>
      </c>
    </row>
    <row r="154" spans="3:11" ht="12.75">
      <c r="C154" s="28" t="str">
        <f>Source!H44</f>
        <v>ШТ</v>
      </c>
      <c r="D154" s="5"/>
      <c r="E154" s="5">
        <f>Source!AF44</f>
        <v>0</v>
      </c>
      <c r="F154" s="5">
        <f>Source!AE44</f>
        <v>0</v>
      </c>
      <c r="G154" s="6"/>
      <c r="H154" s="6"/>
      <c r="I154" s="6">
        <f>Source!R44</f>
        <v>0</v>
      </c>
      <c r="J154" s="5">
        <f>Source!AI44</f>
        <v>0</v>
      </c>
      <c r="K154" s="6">
        <f>Source!V44</f>
        <v>0</v>
      </c>
    </row>
    <row r="155" spans="3:4" ht="12.75">
      <c r="C155" s="31" t="s">
        <v>388</v>
      </c>
      <c r="D155" s="31" t="str">
        <f>Source!DE44</f>
        <v>)*1,25</v>
      </c>
    </row>
    <row r="156" spans="3:4" ht="12.75">
      <c r="C156" s="31" t="s">
        <v>389</v>
      </c>
      <c r="D156" s="31" t="str">
        <f>Source!DF44</f>
        <v>)*1,25</v>
      </c>
    </row>
    <row r="157" spans="3:4" ht="12.75">
      <c r="C157" s="31" t="s">
        <v>390</v>
      </c>
      <c r="D157" s="31" t="str">
        <f>Source!DG44</f>
        <v>)*1,15</v>
      </c>
    </row>
    <row r="158" spans="1:11" ht="24">
      <c r="A158" s="26" t="str">
        <f>Source!E45</f>
        <v>13,4</v>
      </c>
      <c r="B158" s="26">
        <f>Source!F45</f>
        <v>0</v>
      </c>
      <c r="C158" s="27" t="str">
        <f>Source!G45</f>
        <v>Фланцы стальные плоские приварные из стали ВСт3сп2, ВСт3сп3; давлением 2.5 МПа (25 кгс/см2), диаметром 100 мм</v>
      </c>
      <c r="D158" s="5">
        <f>Source!I45</f>
        <v>2</v>
      </c>
      <c r="E158" s="29">
        <f>Source!AB45</f>
        <v>228.186</v>
      </c>
      <c r="F158" s="29">
        <f>Source!AD45</f>
        <v>0</v>
      </c>
      <c r="G158" s="6">
        <f>Source!O45</f>
        <v>456.37</v>
      </c>
      <c r="H158" s="6">
        <f>Source!S45</f>
        <v>0</v>
      </c>
      <c r="I158" s="30">
        <f>Source!Q45</f>
        <v>0</v>
      </c>
      <c r="J158" s="29">
        <f>Source!AH45</f>
        <v>0</v>
      </c>
      <c r="K158" s="30">
        <f>Source!U45</f>
        <v>0</v>
      </c>
    </row>
    <row r="159" spans="3:11" ht="12.75">
      <c r="C159" s="28" t="str">
        <f>Source!H45</f>
        <v>шт.</v>
      </c>
      <c r="D159" s="5"/>
      <c r="E159" s="5">
        <f>Source!AF45</f>
        <v>0</v>
      </c>
      <c r="F159" s="5">
        <f>Source!AE45</f>
        <v>0</v>
      </c>
      <c r="G159" s="6"/>
      <c r="H159" s="6"/>
      <c r="I159" s="6">
        <f>Source!R45</f>
        <v>0</v>
      </c>
      <c r="J159" s="5">
        <f>Source!AI45</f>
        <v>0</v>
      </c>
      <c r="K159" s="6">
        <f>Source!V45</f>
        <v>0</v>
      </c>
    </row>
    <row r="160" spans="3:4" ht="12.75">
      <c r="C160" s="31" t="s">
        <v>387</v>
      </c>
      <c r="D160" s="32" t="str">
        <f>Source!BO45</f>
        <v>300-1003</v>
      </c>
    </row>
    <row r="161" spans="3:4" ht="12.75">
      <c r="C161" s="31" t="s">
        <v>388</v>
      </c>
      <c r="D161" s="31" t="str">
        <f>Source!DE45</f>
        <v>)*1,25</v>
      </c>
    </row>
    <row r="162" spans="3:4" ht="12.75">
      <c r="C162" s="31" t="s">
        <v>389</v>
      </c>
      <c r="D162" s="31" t="str">
        <f>Source!DF45</f>
        <v>)*1,25</v>
      </c>
    </row>
    <row r="163" spans="3:4" ht="12.75">
      <c r="C163" s="31" t="s">
        <v>390</v>
      </c>
      <c r="D163" s="31" t="str">
        <f>Source!DG45</f>
        <v>)*1,15</v>
      </c>
    </row>
    <row r="164" spans="1:11" ht="12.75">
      <c r="A164" s="26" t="str">
        <f>Source!E46</f>
        <v>14</v>
      </c>
      <c r="B164" s="26" t="str">
        <f>Source!F46</f>
        <v>19-01-006-1</v>
      </c>
      <c r="C164" s="27" t="str">
        <f>Source!G46</f>
        <v>Установка предохранительных клапанов диаметром до 50 мм</v>
      </c>
      <c r="D164" s="5">
        <f>Source!I46</f>
        <v>2</v>
      </c>
      <c r="E164" s="29">
        <f>Source!AB46</f>
        <v>1076.2899999999997</v>
      </c>
      <c r="F164" s="29">
        <f>Source!AD46</f>
        <v>6.1625</v>
      </c>
      <c r="G164" s="6">
        <f>Source!O46</f>
        <v>2152.59</v>
      </c>
      <c r="H164" s="6">
        <f>Source!S46</f>
        <v>47.96</v>
      </c>
      <c r="I164" s="30">
        <f>Source!Q46</f>
        <v>12.33</v>
      </c>
      <c r="J164" s="29">
        <f>Source!AH46</f>
        <v>2.17</v>
      </c>
      <c r="K164" s="30">
        <f>Source!U46</f>
        <v>4.34</v>
      </c>
    </row>
    <row r="165" spans="3:11" ht="12.75">
      <c r="C165" s="28" t="str">
        <f>Source!H46</f>
        <v>шт.</v>
      </c>
      <c r="D165" s="5"/>
      <c r="E165" s="5">
        <f>Source!AF46</f>
        <v>23.9775</v>
      </c>
      <c r="F165" s="5">
        <f>Source!AE46</f>
        <v>0.8875</v>
      </c>
      <c r="G165" s="6"/>
      <c r="H165" s="6"/>
      <c r="I165" s="6">
        <f>Source!R46</f>
        <v>1.78</v>
      </c>
      <c r="J165" s="5">
        <f>Source!AI46</f>
        <v>0.06</v>
      </c>
      <c r="K165" s="6">
        <f>Source!V46</f>
        <v>0.12</v>
      </c>
    </row>
    <row r="166" spans="3:4" ht="12.75">
      <c r="C166" s="31" t="s">
        <v>387</v>
      </c>
      <c r="D166" s="32" t="str">
        <f>Source!BO46</f>
        <v>19-01-006-1</v>
      </c>
    </row>
    <row r="167" spans="3:4" ht="12.75">
      <c r="C167" s="31" t="s">
        <v>388</v>
      </c>
      <c r="D167" s="31" t="str">
        <f>Source!DE46</f>
        <v>)*1,25</v>
      </c>
    </row>
    <row r="168" spans="3:4" ht="12.75">
      <c r="C168" s="31" t="s">
        <v>389</v>
      </c>
      <c r="D168" s="31" t="str">
        <f>Source!DF46</f>
        <v>)*1,25</v>
      </c>
    </row>
    <row r="169" spans="3:4" ht="12.75">
      <c r="C169" s="31" t="s">
        <v>390</v>
      </c>
      <c r="D169" s="31" t="str">
        <f>Source!DG46</f>
        <v>)*1,15</v>
      </c>
    </row>
    <row r="170" spans="3:7" ht="12.75">
      <c r="C170" s="35" t="s">
        <v>396</v>
      </c>
      <c r="D170" s="4">
        <f>Source!AT46</f>
        <v>128</v>
      </c>
      <c r="E170" s="4"/>
      <c r="F170" s="4"/>
      <c r="G170" s="36">
        <f>Source!X46</f>
        <v>63.67</v>
      </c>
    </row>
    <row r="171" spans="3:7" ht="12.75">
      <c r="C171" s="35" t="s">
        <v>397</v>
      </c>
      <c r="D171" s="4">
        <f>Source!AU46</f>
        <v>83</v>
      </c>
      <c r="E171" s="4"/>
      <c r="F171" s="4"/>
      <c r="G171" s="36">
        <f>Source!Y46</f>
        <v>41.28</v>
      </c>
    </row>
    <row r="173" spans="1:11" ht="24">
      <c r="A173" s="26" t="str">
        <f>Source!E47</f>
        <v>14,1</v>
      </c>
      <c r="B173" s="26">
        <f>Source!F47</f>
        <v>0</v>
      </c>
      <c r="C173" s="27" t="str">
        <f>Source!G47</f>
        <v>Клапан предохранительный 17ч18бр, 1,6мПа диаметр до:  50мм</v>
      </c>
      <c r="D173" s="5">
        <f>Source!I47</f>
        <v>1</v>
      </c>
      <c r="E173" s="29">
        <f>Source!AB47</f>
        <v>965.454</v>
      </c>
      <c r="F173" s="29">
        <f>Source!AD47</f>
        <v>0</v>
      </c>
      <c r="G173" s="6">
        <f>Source!O47</f>
        <v>965.45</v>
      </c>
      <c r="H173" s="6">
        <f>Source!S47</f>
        <v>0</v>
      </c>
      <c r="I173" s="30">
        <f>Source!Q47</f>
        <v>0</v>
      </c>
      <c r="J173" s="29">
        <f>Source!AH47</f>
        <v>0</v>
      </c>
      <c r="K173" s="30">
        <f>Source!U47</f>
        <v>0</v>
      </c>
    </row>
    <row r="174" spans="3:11" ht="12.75">
      <c r="C174" s="28" t="str">
        <f>Source!H47</f>
        <v>шт.</v>
      </c>
      <c r="D174" s="5"/>
      <c r="E174" s="5">
        <f>Source!AF47</f>
        <v>0</v>
      </c>
      <c r="F174" s="5">
        <f>Source!AE47</f>
        <v>0</v>
      </c>
      <c r="G174" s="6"/>
      <c r="H174" s="6"/>
      <c r="I174" s="6">
        <f>Source!R47</f>
        <v>0</v>
      </c>
      <c r="J174" s="5">
        <f>Source!AI47</f>
        <v>0</v>
      </c>
      <c r="K174" s="6">
        <f>Source!V47</f>
        <v>0</v>
      </c>
    </row>
    <row r="175" spans="3:4" ht="12.75">
      <c r="C175" s="31" t="s">
        <v>388</v>
      </c>
      <c r="D175" s="31" t="str">
        <f>Source!DE47</f>
        <v>)*1,25</v>
      </c>
    </row>
    <row r="176" spans="3:4" ht="12.75">
      <c r="C176" s="31" t="s">
        <v>389</v>
      </c>
      <c r="D176" s="31" t="str">
        <f>Source!DF47</f>
        <v>)*1,25</v>
      </c>
    </row>
    <row r="177" spans="3:4" ht="12.75">
      <c r="C177" s="31" t="s">
        <v>390</v>
      </c>
      <c r="D177" s="31" t="str">
        <f>Source!DG47</f>
        <v>)*1,15</v>
      </c>
    </row>
    <row r="178" spans="1:11" ht="24">
      <c r="A178" s="26" t="str">
        <f>Source!E48</f>
        <v>14,2</v>
      </c>
      <c r="B178" s="26">
        <f>Source!F48</f>
      </c>
      <c r="C178" s="27" t="str">
        <f>Source!G48</f>
        <v>Клапан термозапорный КТ3 диаметр 25мм</v>
      </c>
      <c r="D178" s="5">
        <f>Source!I48</f>
        <v>1</v>
      </c>
      <c r="E178" s="29">
        <f>Source!AB48</f>
        <v>1773.0439999999999</v>
      </c>
      <c r="F178" s="29">
        <f>Source!AD48</f>
        <v>0</v>
      </c>
      <c r="G178" s="6">
        <f>Source!O48</f>
        <v>1773.04</v>
      </c>
      <c r="H178" s="6">
        <f>Source!S48</f>
        <v>0</v>
      </c>
      <c r="I178" s="30">
        <f>Source!Q48</f>
        <v>0</v>
      </c>
      <c r="J178" s="29">
        <f>Source!AH48</f>
        <v>0</v>
      </c>
      <c r="K178" s="30">
        <f>Source!U48</f>
        <v>0</v>
      </c>
    </row>
    <row r="179" spans="3:11" ht="12.75">
      <c r="C179" s="28" t="str">
        <f>Source!H48</f>
        <v>ШТ</v>
      </c>
      <c r="D179" s="5"/>
      <c r="E179" s="5">
        <f>Source!AF48</f>
        <v>0</v>
      </c>
      <c r="F179" s="5">
        <f>Source!AE48</f>
        <v>0</v>
      </c>
      <c r="G179" s="6"/>
      <c r="H179" s="6"/>
      <c r="I179" s="6">
        <f>Source!R48</f>
        <v>0</v>
      </c>
      <c r="J179" s="5">
        <f>Source!AI48</f>
        <v>0</v>
      </c>
      <c r="K179" s="6">
        <f>Source!V48</f>
        <v>0</v>
      </c>
    </row>
    <row r="180" spans="3:4" ht="12.75">
      <c r="C180" s="31" t="s">
        <v>388</v>
      </c>
      <c r="D180" s="31" t="str">
        <f>Source!DE48</f>
        <v>)*1,25</v>
      </c>
    </row>
    <row r="181" spans="3:4" ht="12.75">
      <c r="C181" s="31" t="s">
        <v>389</v>
      </c>
      <c r="D181" s="31" t="str">
        <f>Source!DF48</f>
        <v>)*1,25</v>
      </c>
    </row>
    <row r="182" spans="3:4" ht="12.75">
      <c r="C182" s="31" t="s">
        <v>390</v>
      </c>
      <c r="D182" s="31" t="str">
        <f>Source!DG48</f>
        <v>)*1,15</v>
      </c>
    </row>
    <row r="185" spans="3:11" ht="12.75">
      <c r="C185" s="33" t="s">
        <v>391</v>
      </c>
      <c r="D185" s="90" t="str">
        <f>IF(Source!C12="1",Source!F50,Source!G50)</f>
        <v>Сантехнические работы</v>
      </c>
      <c r="E185" s="90"/>
      <c r="F185" s="90"/>
      <c r="G185" s="90"/>
      <c r="H185" s="90"/>
      <c r="I185" s="90"/>
      <c r="J185" s="90"/>
      <c r="K185" s="90"/>
    </row>
    <row r="187" spans="3:8" ht="12.75">
      <c r="C187" s="81" t="str">
        <f>Source!H52</f>
        <v>Прямые затраты</v>
      </c>
      <c r="D187" s="81"/>
      <c r="E187" s="81"/>
      <c r="F187" s="81"/>
      <c r="G187" s="7">
        <f>Source!F52</f>
        <v>12280.78</v>
      </c>
      <c r="H187" s="5"/>
    </row>
    <row r="189" spans="3:8" ht="12.75">
      <c r="C189" s="81" t="str">
        <f>Source!H53</f>
        <v>Стоимость материалов</v>
      </c>
      <c r="D189" s="81"/>
      <c r="E189" s="81"/>
      <c r="F189" s="81"/>
      <c r="G189" s="7">
        <f>Source!F53</f>
        <v>11705.38</v>
      </c>
      <c r="H189" s="5"/>
    </row>
    <row r="191" spans="3:8" ht="12.75">
      <c r="C191" s="81" t="str">
        <f>Source!H54</f>
        <v>Эксплуатация машин</v>
      </c>
      <c r="D191" s="81"/>
      <c r="E191" s="81"/>
      <c r="F191" s="81"/>
      <c r="G191" s="7">
        <f>Source!F54</f>
        <v>63.8</v>
      </c>
      <c r="H191" s="5"/>
    </row>
    <row r="193" spans="3:8" ht="12.75">
      <c r="C193" s="81" t="str">
        <f>Source!H55</f>
        <v>ЗП машинистов</v>
      </c>
      <c r="D193" s="81"/>
      <c r="E193" s="81"/>
      <c r="F193" s="81"/>
      <c r="G193" s="7">
        <f>Source!F55</f>
        <v>7.68</v>
      </c>
      <c r="H193" s="5"/>
    </row>
    <row r="195" spans="3:8" ht="12.75">
      <c r="C195" s="81" t="str">
        <f>Source!H56</f>
        <v>Основная ЗП рабочих</v>
      </c>
      <c r="D195" s="81"/>
      <c r="E195" s="81"/>
      <c r="F195" s="81"/>
      <c r="G195" s="7">
        <f>Source!F56</f>
        <v>511.6</v>
      </c>
      <c r="H195" s="5"/>
    </row>
    <row r="197" spans="3:8" ht="12.75">
      <c r="C197" s="81" t="str">
        <f>Source!H58</f>
        <v>Трудозатраты строителей</v>
      </c>
      <c r="D197" s="81"/>
      <c r="E197" s="81"/>
      <c r="F197" s="81"/>
      <c r="G197" s="7">
        <f>Source!F58</f>
        <v>45</v>
      </c>
      <c r="H197" s="5"/>
    </row>
    <row r="199" spans="3:8" ht="12.75">
      <c r="C199" s="81" t="str">
        <f>Source!H59</f>
        <v>Трудозатраты машинистов</v>
      </c>
      <c r="D199" s="81"/>
      <c r="E199" s="81"/>
      <c r="F199" s="81"/>
      <c r="G199" s="7">
        <f>Source!F59</f>
        <v>0.52</v>
      </c>
      <c r="H199" s="5"/>
    </row>
    <row r="201" spans="3:8" ht="12.75">
      <c r="C201" s="81" t="str">
        <f>Source!H61</f>
        <v>Накладные расходы</v>
      </c>
      <c r="D201" s="81"/>
      <c r="E201" s="81"/>
      <c r="F201" s="81"/>
      <c r="G201" s="7">
        <f>Source!F61</f>
        <v>664.69</v>
      </c>
      <c r="H201" s="5"/>
    </row>
    <row r="203" spans="3:8" ht="12.75">
      <c r="C203" s="81" t="str">
        <f>Source!H62</f>
        <v>Сметная прибыль</v>
      </c>
      <c r="D203" s="81"/>
      <c r="E203" s="81"/>
      <c r="F203" s="81"/>
      <c r="G203" s="7">
        <f>Source!F62</f>
        <v>431.01</v>
      </c>
      <c r="H203" s="5"/>
    </row>
    <row r="206" spans="3:11" ht="15.75">
      <c r="C206" s="25" t="s">
        <v>386</v>
      </c>
      <c r="D206" s="89" t="str">
        <f>IF(Source!C12="1",Source!F64,Source!G64)</f>
        <v>Строительные работы</v>
      </c>
      <c r="E206" s="89"/>
      <c r="F206" s="89"/>
      <c r="G206" s="89"/>
      <c r="H206" s="89"/>
      <c r="I206" s="89"/>
      <c r="J206" s="89"/>
      <c r="K206" s="89"/>
    </row>
    <row r="208" spans="1:11" ht="36">
      <c r="A208" s="26" t="str">
        <f>Source!E68</f>
        <v>1</v>
      </c>
      <c r="B208" s="26" t="str">
        <f>Source!F68</f>
        <v>15-04-030-4</v>
      </c>
      <c r="C208" s="27" t="str">
        <f>Source!G68</f>
        <v>Масляная окраска металлических поверхностей решеток, переплетов, труб диаметром менее 50 мм и т.п., количество окрасок 2</v>
      </c>
      <c r="D208" s="5">
        <f>Source!I68</f>
        <v>0.043</v>
      </c>
      <c r="E208" s="29">
        <f>Source!AB68</f>
        <v>1450.831</v>
      </c>
      <c r="F208" s="29">
        <f>Source!AD68</f>
        <v>2.4375</v>
      </c>
      <c r="G208" s="6">
        <f>Source!O68</f>
        <v>62.38</v>
      </c>
      <c r="H208" s="6">
        <f>Source!S68</f>
        <v>31.06</v>
      </c>
      <c r="I208" s="30">
        <f>Source!Q68</f>
        <v>0.1</v>
      </c>
      <c r="J208" s="29">
        <f>Source!AH68</f>
        <v>71.06</v>
      </c>
      <c r="K208" s="30">
        <f>Source!U68</f>
        <v>3.06</v>
      </c>
    </row>
    <row r="209" spans="3:11" ht="12.75">
      <c r="C209" s="28" t="str">
        <f>Source!H68</f>
        <v>100 м2</v>
      </c>
      <c r="D209" s="5"/>
      <c r="E209" s="5">
        <f>Source!AF68</f>
        <v>722.3954999999999</v>
      </c>
      <c r="F209" s="5">
        <f>Source!AE68</f>
        <v>0.5125</v>
      </c>
      <c r="G209" s="6"/>
      <c r="H209" s="6"/>
      <c r="I209" s="6">
        <f>Source!R68</f>
        <v>0.02</v>
      </c>
      <c r="J209" s="5">
        <f>Source!AI68</f>
        <v>0.04</v>
      </c>
      <c r="K209" s="6">
        <f>Source!V68</f>
        <v>0</v>
      </c>
    </row>
    <row r="210" spans="3:4" ht="12.75">
      <c r="C210" s="31" t="s">
        <v>387</v>
      </c>
      <c r="D210" s="32" t="str">
        <f>Source!BO68</f>
        <v>15-04-030-4</v>
      </c>
    </row>
    <row r="211" spans="3:4" ht="12.75">
      <c r="C211" s="31" t="s">
        <v>388</v>
      </c>
      <c r="D211" s="31" t="str">
        <f>Source!DE68</f>
        <v>)*1,25</v>
      </c>
    </row>
    <row r="212" spans="3:4" ht="12.75">
      <c r="C212" s="31" t="s">
        <v>389</v>
      </c>
      <c r="D212" s="31" t="str">
        <f>Source!DF68</f>
        <v>)*1,25</v>
      </c>
    </row>
    <row r="213" spans="3:4" ht="12.75">
      <c r="C213" s="31" t="s">
        <v>390</v>
      </c>
      <c r="D213" s="31" t="str">
        <f>Source!DG68</f>
        <v>)*1,15</v>
      </c>
    </row>
    <row r="214" spans="3:7" ht="12.75">
      <c r="C214" s="35" t="s">
        <v>396</v>
      </c>
      <c r="D214" s="4">
        <f>Source!AT68</f>
        <v>105</v>
      </c>
      <c r="E214" s="4"/>
      <c r="F214" s="4"/>
      <c r="G214" s="36">
        <f>Source!X68</f>
        <v>32.63</v>
      </c>
    </row>
    <row r="215" spans="3:7" ht="12.75">
      <c r="C215" s="35" t="s">
        <v>397</v>
      </c>
      <c r="D215" s="4">
        <f>Source!AU68</f>
        <v>55</v>
      </c>
      <c r="E215" s="4"/>
      <c r="F215" s="4"/>
      <c r="G215" s="36">
        <f>Source!Y68</f>
        <v>17.09</v>
      </c>
    </row>
    <row r="217" spans="1:11" ht="24">
      <c r="A217" s="26" t="str">
        <f>Source!E69</f>
        <v>2</v>
      </c>
      <c r="B217" s="26" t="str">
        <f>Source!F69</f>
        <v>15-04-030-3</v>
      </c>
      <c r="C217" s="27" t="str">
        <f>Source!G69</f>
        <v>Масляная окраска металлических поверхностей стальных балок, труб диаметром более 50 мм и т.п., количество окрасок 2</v>
      </c>
      <c r="D217" s="5">
        <f>Source!I69</f>
        <v>0.027</v>
      </c>
      <c r="E217" s="29">
        <f>Source!AB69</f>
        <v>1141.0785</v>
      </c>
      <c r="F217" s="29">
        <f>Source!AD69</f>
        <v>2.4375</v>
      </c>
      <c r="G217" s="6">
        <f>Source!O69</f>
        <v>30.81</v>
      </c>
      <c r="H217" s="6">
        <f>Source!S69</f>
        <v>11.14</v>
      </c>
      <c r="I217" s="30">
        <f>Source!Q69</f>
        <v>0.07</v>
      </c>
      <c r="J217" s="29">
        <f>Source!AH69</f>
        <v>40.59</v>
      </c>
      <c r="K217" s="30">
        <f>Source!U69</f>
        <v>1.1</v>
      </c>
    </row>
    <row r="218" spans="3:11" ht="12.75">
      <c r="C218" s="28" t="str">
        <f>Source!H69</f>
        <v>100 м2</v>
      </c>
      <c r="D218" s="5"/>
      <c r="E218" s="5">
        <f>Source!AF69</f>
        <v>412.643</v>
      </c>
      <c r="F218" s="5">
        <f>Source!AE69</f>
        <v>0.5125</v>
      </c>
      <c r="G218" s="6"/>
      <c r="H218" s="6"/>
      <c r="I218" s="6">
        <f>Source!R69</f>
        <v>0.01</v>
      </c>
      <c r="J218" s="5">
        <f>Source!AI69</f>
        <v>0.04</v>
      </c>
      <c r="K218" s="6">
        <f>Source!V69</f>
        <v>0</v>
      </c>
    </row>
    <row r="219" spans="3:4" ht="12.75">
      <c r="C219" s="31" t="s">
        <v>387</v>
      </c>
      <c r="D219" s="32" t="str">
        <f>Source!BO69</f>
        <v>15-04-030-3</v>
      </c>
    </row>
    <row r="220" spans="3:4" ht="12.75">
      <c r="C220" s="31" t="s">
        <v>388</v>
      </c>
      <c r="D220" s="31" t="str">
        <f>Source!DE69</f>
        <v>)*1,25</v>
      </c>
    </row>
    <row r="221" spans="3:4" ht="12.75">
      <c r="C221" s="31" t="s">
        <v>389</v>
      </c>
      <c r="D221" s="31" t="str">
        <f>Source!DF69</f>
        <v>)*1,25</v>
      </c>
    </row>
    <row r="222" spans="3:4" ht="12.75">
      <c r="C222" s="31" t="s">
        <v>390</v>
      </c>
      <c r="D222" s="31" t="str">
        <f>Source!DG69</f>
        <v>)*1,15</v>
      </c>
    </row>
    <row r="223" spans="3:7" ht="12.75">
      <c r="C223" s="35" t="s">
        <v>396</v>
      </c>
      <c r="D223" s="4">
        <f>Source!AT69</f>
        <v>105</v>
      </c>
      <c r="E223" s="4"/>
      <c r="F223" s="4"/>
      <c r="G223" s="36">
        <f>Source!X69</f>
        <v>11.71</v>
      </c>
    </row>
    <row r="224" spans="3:7" ht="12.75">
      <c r="C224" s="35" t="s">
        <v>397</v>
      </c>
      <c r="D224" s="4">
        <f>Source!AU69</f>
        <v>55</v>
      </c>
      <c r="E224" s="4"/>
      <c r="F224" s="4"/>
      <c r="G224" s="36">
        <f>Source!Y69</f>
        <v>6.13</v>
      </c>
    </row>
    <row r="227" spans="3:11" ht="12.75">
      <c r="C227" s="33" t="s">
        <v>391</v>
      </c>
      <c r="D227" s="90" t="str">
        <f>IF(Source!C12="1",Source!F71,Source!G71)</f>
        <v>Строительные работы</v>
      </c>
      <c r="E227" s="90"/>
      <c r="F227" s="90"/>
      <c r="G227" s="90"/>
      <c r="H227" s="90"/>
      <c r="I227" s="90"/>
      <c r="J227" s="90"/>
      <c r="K227" s="90"/>
    </row>
    <row r="229" spans="3:8" ht="12.75">
      <c r="C229" s="81" t="str">
        <f>Source!H73</f>
        <v>Прямые затраты</v>
      </c>
      <c r="D229" s="81"/>
      <c r="E229" s="81"/>
      <c r="F229" s="81"/>
      <c r="G229" s="7">
        <f>Source!F73</f>
        <v>93.19</v>
      </c>
      <c r="H229" s="5"/>
    </row>
    <row r="231" spans="3:8" ht="12.75">
      <c r="C231" s="81" t="str">
        <f>Source!H74</f>
        <v>Стоимость материалов</v>
      </c>
      <c r="D231" s="81"/>
      <c r="E231" s="81"/>
      <c r="F231" s="81"/>
      <c r="G231" s="7">
        <f>Source!F74</f>
        <v>50.82</v>
      </c>
      <c r="H231" s="5"/>
    </row>
    <row r="233" spans="3:8" ht="12.75">
      <c r="C233" s="81" t="str">
        <f>Source!H75</f>
        <v>Эксплуатация машин</v>
      </c>
      <c r="D233" s="81"/>
      <c r="E233" s="81"/>
      <c r="F233" s="81"/>
      <c r="G233" s="7">
        <f>Source!F75</f>
        <v>0.17</v>
      </c>
      <c r="H233" s="5"/>
    </row>
    <row r="235" spans="3:8" ht="12.75">
      <c r="C235" s="81" t="str">
        <f>Source!H76</f>
        <v>ЗП машинистов</v>
      </c>
      <c r="D235" s="81"/>
      <c r="E235" s="81"/>
      <c r="F235" s="81"/>
      <c r="G235" s="7">
        <f>Source!F76</f>
        <v>0.03</v>
      </c>
      <c r="H235" s="5"/>
    </row>
    <row r="237" spans="3:8" ht="12.75">
      <c r="C237" s="81" t="str">
        <f>Source!H77</f>
        <v>Основная ЗП рабочих</v>
      </c>
      <c r="D237" s="81"/>
      <c r="E237" s="81"/>
      <c r="F237" s="81"/>
      <c r="G237" s="7">
        <f>Source!F77</f>
        <v>42.2</v>
      </c>
      <c r="H237" s="5"/>
    </row>
    <row r="239" spans="3:8" ht="12.75">
      <c r="C239" s="81" t="str">
        <f>Source!H79</f>
        <v>Трудозатраты строителей</v>
      </c>
      <c r="D239" s="81"/>
      <c r="E239" s="81"/>
      <c r="F239" s="81"/>
      <c r="G239" s="7">
        <f>Source!F79</f>
        <v>4.16</v>
      </c>
      <c r="H239" s="5"/>
    </row>
    <row r="241" spans="3:8" ht="12.75">
      <c r="C241" s="81" t="str">
        <f>Source!H82</f>
        <v>Накладные расходы</v>
      </c>
      <c r="D241" s="81"/>
      <c r="E241" s="81"/>
      <c r="F241" s="81"/>
      <c r="G241" s="7">
        <f>Source!F82</f>
        <v>44.34</v>
      </c>
      <c r="H241" s="5"/>
    </row>
    <row r="243" spans="3:8" ht="12.75">
      <c r="C243" s="81" t="str">
        <f>Source!H83</f>
        <v>Сметная прибыль</v>
      </c>
      <c r="D243" s="81"/>
      <c r="E243" s="81"/>
      <c r="F243" s="81"/>
      <c r="G243" s="7">
        <f>Source!F83</f>
        <v>23.22</v>
      </c>
      <c r="H243" s="5"/>
    </row>
    <row r="246" spans="3:11" ht="15.75">
      <c r="C246" s="25" t="s">
        <v>386</v>
      </c>
      <c r="D246" s="89" t="str">
        <f>IF(Source!C12="1",Source!F85,Source!G85)</f>
        <v>Монтажные работы</v>
      </c>
      <c r="E246" s="89"/>
      <c r="F246" s="89"/>
      <c r="G246" s="89"/>
      <c r="H246" s="89"/>
      <c r="I246" s="89"/>
      <c r="J246" s="89"/>
      <c r="K246" s="89"/>
    </row>
    <row r="248" spans="1:11" ht="24">
      <c r="A248" s="26" t="str">
        <f>Source!E89</f>
        <v>1</v>
      </c>
      <c r="B248" s="26" t="str">
        <f>Source!F89</f>
        <v>м11-02-022-5</v>
      </c>
      <c r="C248" s="27" t="str">
        <f>Source!G89</f>
        <v>Ротаметр, счетчик, преобразователь, устанавливаемые на фланцевых соединениях, диаметр условного прохода, мм, до: 80</v>
      </c>
      <c r="D248" s="5">
        <f>Source!I89</f>
        <v>1</v>
      </c>
      <c r="E248" s="29">
        <f>Source!AB89</f>
        <v>80.7075</v>
      </c>
      <c r="F248" s="29">
        <f>Source!AD89</f>
        <v>12.15</v>
      </c>
      <c r="G248" s="6">
        <f>Source!O89</f>
        <v>80.71</v>
      </c>
      <c r="H248" s="6">
        <f>Source!S89</f>
        <v>41.41</v>
      </c>
      <c r="I248" s="30">
        <f>Source!Q89</f>
        <v>12.15</v>
      </c>
      <c r="J248" s="29">
        <f>Source!AH89</f>
        <v>4.12</v>
      </c>
      <c r="K248" s="30">
        <f>Source!U89</f>
        <v>4.12</v>
      </c>
    </row>
    <row r="249" spans="3:11" ht="12.75">
      <c r="C249" s="28" t="str">
        <f>Source!H89</f>
        <v>шт.</v>
      </c>
      <c r="D249" s="5"/>
      <c r="E249" s="5">
        <f>Source!AF89</f>
        <v>41.4115</v>
      </c>
      <c r="F249" s="5">
        <f>Source!AE89</f>
        <v>2.3625</v>
      </c>
      <c r="G249" s="6"/>
      <c r="H249" s="6"/>
      <c r="I249" s="6">
        <f>Source!R89</f>
        <v>2.36</v>
      </c>
      <c r="J249" s="5">
        <f>Source!AI89</f>
        <v>0.16</v>
      </c>
      <c r="K249" s="6">
        <f>Source!V89</f>
        <v>0.16</v>
      </c>
    </row>
    <row r="250" spans="3:4" ht="12.75">
      <c r="C250" s="31" t="s">
        <v>387</v>
      </c>
      <c r="D250" s="32" t="str">
        <f>Source!BO89</f>
        <v>м11-02-022-5</v>
      </c>
    </row>
    <row r="251" spans="3:4" ht="12.75">
      <c r="C251" s="31" t="s">
        <v>388</v>
      </c>
      <c r="D251" s="31" t="str">
        <f>Source!DE89</f>
        <v>)*1,25</v>
      </c>
    </row>
    <row r="252" spans="3:4" ht="12.75">
      <c r="C252" s="31" t="s">
        <v>389</v>
      </c>
      <c r="D252" s="31" t="str">
        <f>Source!DF89</f>
        <v>)*1,25</v>
      </c>
    </row>
    <row r="253" spans="3:4" ht="12.75">
      <c r="C253" s="31" t="s">
        <v>390</v>
      </c>
      <c r="D253" s="31" t="str">
        <f>Source!DG89</f>
        <v>)*1,15</v>
      </c>
    </row>
    <row r="254" spans="3:7" ht="12.75">
      <c r="C254" s="35" t="s">
        <v>396</v>
      </c>
      <c r="D254" s="4">
        <f>Source!AT89</f>
        <v>80</v>
      </c>
      <c r="E254" s="4"/>
      <c r="F254" s="4"/>
      <c r="G254" s="36">
        <f>Source!X89</f>
        <v>35.02</v>
      </c>
    </row>
    <row r="255" spans="3:7" ht="12.75">
      <c r="C255" s="35" t="s">
        <v>397</v>
      </c>
      <c r="D255" s="4">
        <f>Source!AU89</f>
        <v>60</v>
      </c>
      <c r="E255" s="4"/>
      <c r="F255" s="4"/>
      <c r="G255" s="36">
        <f>Source!Y89</f>
        <v>26.26</v>
      </c>
    </row>
    <row r="257" spans="1:11" ht="24">
      <c r="A257" s="26" t="str">
        <f>Source!E90</f>
        <v>2</v>
      </c>
      <c r="B257" s="26" t="str">
        <f>Source!F90</f>
        <v>м11-03-001-2</v>
      </c>
      <c r="C257" s="27" t="str">
        <f>Source!G90</f>
        <v>Прибор, масса, кг, до: 10</v>
      </c>
      <c r="D257" s="5">
        <f>Source!I90</f>
        <v>1</v>
      </c>
      <c r="E257" s="29">
        <f>Source!AB90</f>
        <v>14.7095</v>
      </c>
      <c r="F257" s="29">
        <f>Source!AD90</f>
        <v>0</v>
      </c>
      <c r="G257" s="6">
        <f>Source!O90</f>
        <v>14.71</v>
      </c>
      <c r="H257" s="6">
        <f>Source!S90</f>
        <v>11.74</v>
      </c>
      <c r="I257" s="30">
        <f>Source!Q90</f>
        <v>0</v>
      </c>
      <c r="J257" s="29">
        <f>Source!AH90</f>
        <v>1.03</v>
      </c>
      <c r="K257" s="30">
        <f>Source!U90</f>
        <v>1.03</v>
      </c>
    </row>
    <row r="258" spans="3:11" ht="12.75">
      <c r="C258" s="28" t="str">
        <f>Source!H90</f>
        <v>шт.</v>
      </c>
      <c r="D258" s="5"/>
      <c r="E258" s="5">
        <f>Source!AF90</f>
        <v>11.7415</v>
      </c>
      <c r="F258" s="5">
        <f>Source!AE90</f>
        <v>0</v>
      </c>
      <c r="G258" s="6"/>
      <c r="H258" s="6"/>
      <c r="I258" s="6">
        <f>Source!R90</f>
        <v>0</v>
      </c>
      <c r="J258" s="5">
        <f>Source!AI90</f>
        <v>0</v>
      </c>
      <c r="K258" s="6">
        <f>Source!V90</f>
        <v>0</v>
      </c>
    </row>
    <row r="259" spans="3:4" ht="12.75">
      <c r="C259" s="31" t="s">
        <v>387</v>
      </c>
      <c r="D259" s="32" t="str">
        <f>Source!BO90</f>
        <v>м11-03-001-2</v>
      </c>
    </row>
    <row r="260" spans="3:4" ht="12.75">
      <c r="C260" s="31" t="s">
        <v>388</v>
      </c>
      <c r="D260" s="31" t="str">
        <f>Source!DE90</f>
        <v>)*1,25</v>
      </c>
    </row>
    <row r="261" spans="3:4" ht="12.75">
      <c r="C261" s="31" t="s">
        <v>389</v>
      </c>
      <c r="D261" s="31" t="str">
        <f>Source!DF90</f>
        <v>)*1,25</v>
      </c>
    </row>
    <row r="262" spans="3:4" ht="12.75">
      <c r="C262" s="31" t="s">
        <v>390</v>
      </c>
      <c r="D262" s="31" t="str">
        <f>Source!DG90</f>
        <v>)*1,15</v>
      </c>
    </row>
    <row r="263" spans="3:7" ht="12.75">
      <c r="C263" s="35" t="s">
        <v>396</v>
      </c>
      <c r="D263" s="4">
        <f>Source!AT90</f>
        <v>80</v>
      </c>
      <c r="E263" s="4"/>
      <c r="F263" s="4"/>
      <c r="G263" s="36">
        <f>Source!X90</f>
        <v>9.39</v>
      </c>
    </row>
    <row r="264" spans="3:7" ht="12.75">
      <c r="C264" s="35" t="s">
        <v>397</v>
      </c>
      <c r="D264" s="4">
        <f>Source!AU90</f>
        <v>60</v>
      </c>
      <c r="E264" s="4"/>
      <c r="F264" s="4"/>
      <c r="G264" s="36">
        <f>Source!Y90</f>
        <v>7.04</v>
      </c>
    </row>
    <row r="266" spans="3:11" ht="12.75">
      <c r="C266" s="33" t="s">
        <v>391</v>
      </c>
      <c r="D266" s="90" t="str">
        <f>IF(Source!C12="1",Source!F92,Source!G92)</f>
        <v>Монтажные работы</v>
      </c>
      <c r="E266" s="90"/>
      <c r="F266" s="90"/>
      <c r="G266" s="90"/>
      <c r="H266" s="90"/>
      <c r="I266" s="90"/>
      <c r="J266" s="90"/>
      <c r="K266" s="90"/>
    </row>
    <row r="268" spans="3:8" ht="12.75">
      <c r="C268" s="81" t="str">
        <f>Source!H94</f>
        <v>Прямые затраты</v>
      </c>
      <c r="D268" s="81"/>
      <c r="E268" s="81"/>
      <c r="F268" s="81"/>
      <c r="G268" s="7">
        <f>Source!F94</f>
        <v>95.42</v>
      </c>
      <c r="H268" s="5"/>
    </row>
    <row r="270" spans="3:8" ht="12.75">
      <c r="C270" s="81" t="str">
        <f>Source!H95</f>
        <v>Стоимость материалов</v>
      </c>
      <c r="D270" s="81"/>
      <c r="E270" s="81"/>
      <c r="F270" s="81"/>
      <c r="G270" s="7">
        <f>Source!F95</f>
        <v>30.12</v>
      </c>
      <c r="H270" s="5"/>
    </row>
    <row r="272" spans="3:8" ht="12.75">
      <c r="C272" s="81" t="str">
        <f>Source!H96</f>
        <v>Эксплуатация машин</v>
      </c>
      <c r="D272" s="81"/>
      <c r="E272" s="81"/>
      <c r="F272" s="81"/>
      <c r="G272" s="7">
        <f>Source!F96</f>
        <v>12.15</v>
      </c>
      <c r="H272" s="5"/>
    </row>
    <row r="274" spans="3:8" ht="12.75">
      <c r="C274" s="81" t="str">
        <f>Source!H97</f>
        <v>ЗП машинистов</v>
      </c>
      <c r="D274" s="81"/>
      <c r="E274" s="81"/>
      <c r="F274" s="81"/>
      <c r="G274" s="7">
        <f>Source!F97</f>
        <v>2.36</v>
      </c>
      <c r="H274" s="5"/>
    </row>
    <row r="276" spans="3:8" ht="12.75">
      <c r="C276" s="81" t="str">
        <f>Source!H98</f>
        <v>Основная ЗП рабочих</v>
      </c>
      <c r="D276" s="81"/>
      <c r="E276" s="81"/>
      <c r="F276" s="81"/>
      <c r="G276" s="7">
        <f>Source!F98</f>
        <v>53.15</v>
      </c>
      <c r="H276" s="5"/>
    </row>
    <row r="278" spans="3:8" ht="12.75">
      <c r="C278" s="81" t="str">
        <f>Source!H100</f>
        <v>Трудозатраты строителей</v>
      </c>
      <c r="D278" s="81"/>
      <c r="E278" s="81"/>
      <c r="F278" s="81"/>
      <c r="G278" s="7">
        <f>Source!F100</f>
        <v>5.15</v>
      </c>
      <c r="H278" s="5"/>
    </row>
    <row r="280" spans="3:8" ht="12.75">
      <c r="C280" s="81" t="str">
        <f>Source!H101</f>
        <v>Трудозатраты машинистов</v>
      </c>
      <c r="D280" s="81"/>
      <c r="E280" s="81"/>
      <c r="F280" s="81"/>
      <c r="G280" s="7">
        <f>Source!F101</f>
        <v>0.16</v>
      </c>
      <c r="H280" s="5"/>
    </row>
    <row r="282" spans="3:8" ht="12.75">
      <c r="C282" s="81" t="str">
        <f>Source!H103</f>
        <v>Накладные расходы</v>
      </c>
      <c r="D282" s="81"/>
      <c r="E282" s="81"/>
      <c r="F282" s="81"/>
      <c r="G282" s="7">
        <f>Source!F103</f>
        <v>44.41</v>
      </c>
      <c r="H282" s="5"/>
    </row>
    <row r="284" spans="3:8" ht="12.75">
      <c r="C284" s="81" t="str">
        <f>Source!H104</f>
        <v>Сметная прибыль</v>
      </c>
      <c r="D284" s="81"/>
      <c r="E284" s="81"/>
      <c r="F284" s="81"/>
      <c r="G284" s="7">
        <f>Source!F104</f>
        <v>33.3</v>
      </c>
      <c r="H284" s="5"/>
    </row>
    <row r="287" spans="3:11" ht="15.75">
      <c r="C287" s="25" t="s">
        <v>386</v>
      </c>
      <c r="D287" s="89" t="str">
        <f>IF(Source!C12="1",Source!F106,Source!G106)</f>
        <v>Оборудование</v>
      </c>
      <c r="E287" s="89"/>
      <c r="F287" s="89"/>
      <c r="G287" s="89"/>
      <c r="H287" s="89"/>
      <c r="I287" s="89"/>
      <c r="J287" s="89"/>
      <c r="K287" s="89"/>
    </row>
    <row r="289" spans="1:12" ht="12.75">
      <c r="A289" s="26" t="str">
        <f>Source!E110</f>
        <v>1</v>
      </c>
      <c r="B289" s="26">
        <f>Source!F110</f>
      </c>
      <c r="C289" s="27" t="str">
        <f>Source!G110</f>
        <v>Газосчетчик TZR-2-U 40 куб.м.</v>
      </c>
      <c r="D289" s="5">
        <f>Source!I110</f>
        <v>1</v>
      </c>
      <c r="E289" s="29">
        <f>Source!AB110</f>
        <v>1862.644</v>
      </c>
      <c r="F289" s="29">
        <f>Source!AD110</f>
        <v>0</v>
      </c>
      <c r="G289" s="6">
        <f>Source!O110</f>
        <v>1862.64</v>
      </c>
      <c r="H289" s="6">
        <f>Source!S110</f>
        <v>0</v>
      </c>
      <c r="I289" s="30">
        <f>Source!Q110</f>
        <v>0</v>
      </c>
      <c r="J289" s="29">
        <f>Source!AH110</f>
        <v>0</v>
      </c>
      <c r="K289" s="30">
        <f>Source!U110</f>
        <v>0</v>
      </c>
      <c r="L289">
        <v>1330.46</v>
      </c>
    </row>
    <row r="290" spans="3:12" ht="12.75">
      <c r="C290" s="28" t="str">
        <f>Source!H110</f>
        <v>ШТ</v>
      </c>
      <c r="D290" s="5"/>
      <c r="E290" s="5">
        <f>Source!AF110</f>
        <v>0</v>
      </c>
      <c r="F290" s="5">
        <f>Source!AE110</f>
        <v>0</v>
      </c>
      <c r="G290" s="6"/>
      <c r="H290" s="6"/>
      <c r="I290" s="6">
        <f>Source!R110</f>
        <v>0</v>
      </c>
      <c r="J290" s="5">
        <f>Source!AI110</f>
        <v>0</v>
      </c>
      <c r="K290" s="6">
        <f>Source!V110</f>
        <v>0</v>
      </c>
      <c r="L290">
        <f>G289/L289*100</f>
        <v>139.9996993521038</v>
      </c>
    </row>
    <row r="291" spans="1:11" ht="12.75">
      <c r="A291" s="26" t="str">
        <f>Source!E111</f>
        <v>2</v>
      </c>
      <c r="B291" s="26">
        <f>Source!F111</f>
      </c>
      <c r="C291" s="27" t="str">
        <f>Source!G111</f>
        <v>Сигнализатор загазованности САОГ-К-65</v>
      </c>
      <c r="D291" s="5">
        <f>Source!I111</f>
        <v>1</v>
      </c>
      <c r="E291" s="29">
        <f>Source!AB111</f>
        <v>10358.516</v>
      </c>
      <c r="F291" s="29">
        <f>Source!AD111</f>
        <v>0</v>
      </c>
      <c r="G291" s="6">
        <f>Source!O111</f>
        <v>10358.52</v>
      </c>
      <c r="H291" s="6">
        <f>Source!S111</f>
        <v>0</v>
      </c>
      <c r="I291" s="30">
        <f>Source!Q111</f>
        <v>0</v>
      </c>
      <c r="J291" s="29">
        <f>Source!AH111</f>
        <v>0</v>
      </c>
      <c r="K291" s="30">
        <f>Source!U111</f>
        <v>0</v>
      </c>
    </row>
    <row r="292" spans="3:11" ht="12.75">
      <c r="C292" s="28" t="str">
        <f>Source!H111</f>
        <v>ШТ</v>
      </c>
      <c r="D292" s="5"/>
      <c r="E292" s="5">
        <f>Source!AF111</f>
        <v>0</v>
      </c>
      <c r="F292" s="5">
        <f>Source!AE111</f>
        <v>0</v>
      </c>
      <c r="G292" s="6"/>
      <c r="H292" s="6"/>
      <c r="I292" s="6">
        <f>Source!R111</f>
        <v>0</v>
      </c>
      <c r="J292" s="5">
        <f>Source!AI111</f>
        <v>0</v>
      </c>
      <c r="K292" s="6">
        <f>Source!V111</f>
        <v>0</v>
      </c>
    </row>
    <row r="295" spans="3:11" ht="12.75">
      <c r="C295" s="33" t="s">
        <v>391</v>
      </c>
      <c r="D295" s="90" t="str">
        <f>IF(Source!C12="1",Source!F114,Source!G114)</f>
        <v>Оборудование</v>
      </c>
      <c r="E295" s="90"/>
      <c r="F295" s="90"/>
      <c r="G295" s="90"/>
      <c r="H295" s="90"/>
      <c r="I295" s="90"/>
      <c r="J295" s="90"/>
      <c r="K295" s="90"/>
    </row>
    <row r="297" spans="3:8" ht="12.75">
      <c r="C297" s="81" t="str">
        <f>Source!H116</f>
        <v>Прямые затраты</v>
      </c>
      <c r="D297" s="81"/>
      <c r="E297" s="81"/>
      <c r="F297" s="81"/>
      <c r="G297" s="7">
        <f>Source!F116</f>
        <v>12221.16</v>
      </c>
      <c r="H297" s="5"/>
    </row>
    <row r="299" spans="3:8" ht="12.75">
      <c r="C299" s="81" t="str">
        <f>Source!H117</f>
        <v>Стоимость материалов</v>
      </c>
      <c r="D299" s="81"/>
      <c r="E299" s="81"/>
      <c r="F299" s="81"/>
      <c r="G299" s="7">
        <f>Source!F117</f>
        <v>12221.16</v>
      </c>
      <c r="H299" s="5"/>
    </row>
    <row r="301" spans="3:11" ht="12.75">
      <c r="C301" s="33" t="s">
        <v>392</v>
      </c>
      <c r="D301" s="90" t="str">
        <f>IF(Source!C12="1",Source!F142,Source!G142)</f>
        <v>Котельная в с. Филипповка Мелекесского района</v>
      </c>
      <c r="E301" s="90"/>
      <c r="F301" s="90"/>
      <c r="G301" s="90"/>
      <c r="H301" s="90"/>
      <c r="I301" s="90"/>
      <c r="J301" s="90"/>
      <c r="K301" s="90"/>
    </row>
    <row r="303" spans="3:8" ht="12.75">
      <c r="C303" s="81" t="str">
        <f>Source!H144</f>
        <v>Прямые затраты</v>
      </c>
      <c r="D303" s="81"/>
      <c r="E303" s="81"/>
      <c r="F303" s="81"/>
      <c r="G303" s="7">
        <f>Source!F144</f>
        <v>24690.55</v>
      </c>
      <c r="H303" s="5"/>
    </row>
    <row r="305" spans="3:12" ht="12.75">
      <c r="C305" s="81" t="str">
        <f>Source!H145</f>
        <v>Стоимость материалов</v>
      </c>
      <c r="D305" s="81"/>
      <c r="E305" s="81"/>
      <c r="F305" s="81"/>
      <c r="G305" s="7">
        <f>Source!F145</f>
        <v>24007.48</v>
      </c>
      <c r="H305" s="5"/>
      <c r="L305">
        <v>17148.2</v>
      </c>
    </row>
    <row r="306" ht="12.75">
      <c r="L306">
        <f>G305/L305*100</f>
        <v>140</v>
      </c>
    </row>
    <row r="307" spans="3:8" ht="12.75">
      <c r="C307" s="81" t="str">
        <f>Source!H146</f>
        <v>Эксплуатация машин</v>
      </c>
      <c r="D307" s="81"/>
      <c r="E307" s="81"/>
      <c r="F307" s="81"/>
      <c r="G307" s="7">
        <f>Source!F146</f>
        <v>76.12</v>
      </c>
      <c r="H307" s="5"/>
    </row>
    <row r="309" spans="3:8" ht="12.75">
      <c r="C309" s="81" t="str">
        <f>Source!H147</f>
        <v>ЗП машинистов</v>
      </c>
      <c r="D309" s="81"/>
      <c r="E309" s="81"/>
      <c r="F309" s="81"/>
      <c r="G309" s="7">
        <f>Source!F147</f>
        <v>10.07</v>
      </c>
      <c r="H309" s="5"/>
    </row>
    <row r="311" spans="3:8" ht="12.75">
      <c r="C311" s="81" t="str">
        <f>Source!H148</f>
        <v>Основная ЗП рабочих</v>
      </c>
      <c r="D311" s="81"/>
      <c r="E311" s="81"/>
      <c r="F311" s="81"/>
      <c r="G311" s="7">
        <f>Source!F148</f>
        <v>606.95</v>
      </c>
      <c r="H311" s="5"/>
    </row>
    <row r="313" spans="3:8" ht="12.75">
      <c r="C313" s="81" t="str">
        <f>Source!H150</f>
        <v>Трудозатраты строителей</v>
      </c>
      <c r="D313" s="81"/>
      <c r="E313" s="81"/>
      <c r="F313" s="81"/>
      <c r="G313" s="7">
        <f>Source!F150</f>
        <v>54.31</v>
      </c>
      <c r="H313" s="5"/>
    </row>
    <row r="315" spans="3:8" ht="12.75">
      <c r="C315" s="81" t="str">
        <f>Source!H151</f>
        <v>Трудозатраты машинистов</v>
      </c>
      <c r="D315" s="81"/>
      <c r="E315" s="81"/>
      <c r="F315" s="81"/>
      <c r="G315" s="7">
        <f>Source!F151</f>
        <v>0.68</v>
      </c>
      <c r="H315" s="5"/>
    </row>
    <row r="317" spans="3:8" ht="12.75">
      <c r="C317" s="81" t="str">
        <f>Source!H153</f>
        <v>Накладные расходы</v>
      </c>
      <c r="D317" s="81"/>
      <c r="E317" s="81"/>
      <c r="F317" s="81"/>
      <c r="G317" s="7">
        <f>Source!F153</f>
        <v>753.44</v>
      </c>
      <c r="H317" s="5"/>
    </row>
    <row r="319" spans="3:8" ht="12.75">
      <c r="C319" s="81" t="str">
        <f>Source!H154</f>
        <v>Сметная прибыль</v>
      </c>
      <c r="D319" s="81"/>
      <c r="E319" s="81"/>
      <c r="F319" s="81"/>
      <c r="G319" s="7">
        <f>Source!F154</f>
        <v>487.53</v>
      </c>
      <c r="H319" s="5"/>
    </row>
    <row r="321" spans="3:8" ht="12.75">
      <c r="C321" s="81" t="str">
        <f>Source!H155</f>
        <v>Индекс к материалам</v>
      </c>
      <c r="D321" s="81"/>
      <c r="E321" s="81"/>
      <c r="F321" s="81"/>
      <c r="G321" s="7">
        <f>Source!F155</f>
        <v>3.04</v>
      </c>
      <c r="H321" s="5"/>
    </row>
    <row r="323" spans="3:8" ht="12.75">
      <c r="C323" s="81" t="str">
        <f>Source!H156</f>
        <v>Индекс к эксплуатации машин и механизмов</v>
      </c>
      <c r="D323" s="81"/>
      <c r="E323" s="81"/>
      <c r="F323" s="81"/>
      <c r="G323" s="7">
        <f>Source!F156</f>
        <v>2.6</v>
      </c>
      <c r="H323" s="5"/>
    </row>
    <row r="325" spans="3:8" ht="12.75">
      <c r="C325" s="81" t="str">
        <f>Source!H157</f>
        <v>Индекс к основной заработной плате</v>
      </c>
      <c r="D325" s="81"/>
      <c r="E325" s="81"/>
      <c r="F325" s="81"/>
      <c r="G325" s="7">
        <f>Source!F157</f>
        <v>4.36</v>
      </c>
      <c r="H325" s="5"/>
    </row>
    <row r="327" spans="3:8" ht="12.75">
      <c r="C327" s="81" t="str">
        <f>Source!H159</f>
        <v>Прямые затраты с учетом индекса, руб.</v>
      </c>
      <c r="D327" s="81"/>
      <c r="E327" s="81"/>
      <c r="F327" s="81"/>
      <c r="G327" s="7">
        <f>Source!F159</f>
        <v>75826.95</v>
      </c>
      <c r="H327" s="5"/>
    </row>
    <row r="329" spans="3:12" ht="12.75">
      <c r="C329" s="81" t="str">
        <f>Source!H160</f>
        <v>Стоимость материалов с учетом индекса, руб.</v>
      </c>
      <c r="D329" s="81"/>
      <c r="E329" s="81"/>
      <c r="F329" s="81"/>
      <c r="G329" s="7">
        <f>Source!F160</f>
        <v>72982.74</v>
      </c>
      <c r="H329" s="5"/>
      <c r="L329">
        <v>52130.53</v>
      </c>
    </row>
    <row r="330" ht="12.75">
      <c r="L330">
        <f>G329/L329*100</f>
        <v>139.99999616347657</v>
      </c>
    </row>
    <row r="331" spans="3:8" ht="12.75">
      <c r="C331" s="81" t="str">
        <f>Source!H163</f>
        <v>Эксплуатация машин с учетом индекса, руб.</v>
      </c>
      <c r="D331" s="81"/>
      <c r="E331" s="81"/>
      <c r="F331" s="81"/>
      <c r="G331" s="7">
        <f>Source!F170</f>
        <v>969.09</v>
      </c>
      <c r="H331" s="5"/>
    </row>
    <row r="333" spans="3:8" ht="12.75">
      <c r="C333" s="81" t="str">
        <f>Source!H164</f>
        <v>Зарплата машинистов с учетом индекса, руб.</v>
      </c>
      <c r="D333" s="81"/>
      <c r="E333" s="81"/>
      <c r="F333" s="81"/>
      <c r="G333" s="7">
        <f>Source!F164</f>
        <v>26.18</v>
      </c>
      <c r="H333" s="5"/>
    </row>
    <row r="335" spans="3:8" ht="12.75">
      <c r="C335" s="81" t="str">
        <f>Source!H165</f>
        <v>Основная зарплата рабочих с учетом индекса, руб.</v>
      </c>
      <c r="D335" s="81"/>
      <c r="E335" s="81"/>
      <c r="F335" s="81"/>
      <c r="G335" s="7">
        <f>Source!F165</f>
        <v>2646.3</v>
      </c>
      <c r="H335" s="5"/>
    </row>
    <row r="337" spans="3:8" ht="12.75">
      <c r="C337" s="81" t="str">
        <f>Source!H166</f>
        <v>Накладные расходы с учетом индекса, руб.</v>
      </c>
      <c r="D337" s="81"/>
      <c r="E337" s="81"/>
      <c r="F337" s="81"/>
      <c r="G337" s="7">
        <f>Source!F166</f>
        <v>3263.35</v>
      </c>
      <c r="H337" s="5"/>
    </row>
    <row r="339" spans="3:8" ht="12.75">
      <c r="C339" s="81" t="str">
        <f>Source!H167</f>
        <v>Сметная прибыль с учетом индекса, руб.</v>
      </c>
      <c r="D339" s="81"/>
      <c r="E339" s="81"/>
      <c r="F339" s="81"/>
      <c r="G339" s="7">
        <f>Source!F167</f>
        <v>2111.62</v>
      </c>
      <c r="H339" s="5"/>
    </row>
    <row r="341" spans="3:8" ht="12.75">
      <c r="C341" s="81" t="str">
        <f>Source!H168</f>
        <v>Итого в текущих ценах</v>
      </c>
      <c r="D341" s="81"/>
      <c r="E341" s="81"/>
      <c r="F341" s="81"/>
      <c r="G341" s="7">
        <f>SUM(G335,G337,G339)+G329</f>
        <v>81004.01000000001</v>
      </c>
      <c r="H341" s="5"/>
    </row>
    <row r="343" spans="3:8" ht="12.75">
      <c r="C343" s="81" t="str">
        <f>Source!H170</f>
        <v>Зимнее удорожание 2,2% от СМР (ГСН81-05-02-2001)</v>
      </c>
      <c r="D343" s="81"/>
      <c r="E343" s="81"/>
      <c r="F343" s="81"/>
      <c r="G343" s="7">
        <f>Source!F170</f>
        <v>969.09</v>
      </c>
      <c r="H343" s="5"/>
    </row>
    <row r="345" spans="3:8" ht="12.75">
      <c r="C345" s="81" t="s">
        <v>419</v>
      </c>
      <c r="D345" s="81"/>
      <c r="E345" s="81"/>
      <c r="F345" s="81"/>
      <c r="G345" s="7">
        <f>SUM(G343,G341)</f>
        <v>81973.1</v>
      </c>
      <c r="H345" s="5"/>
    </row>
    <row r="347" spans="3:8" ht="12.75">
      <c r="C347" s="81" t="str">
        <f>Source!H173</f>
        <v>ИТОГО ПО СМЕТЕ, руб.</v>
      </c>
      <c r="D347" s="81"/>
      <c r="E347" s="81"/>
      <c r="F347" s="81"/>
      <c r="G347" s="7">
        <f>G345</f>
        <v>81973.1</v>
      </c>
      <c r="H347" s="5"/>
    </row>
    <row r="349" spans="3:8" ht="12.75">
      <c r="C349" s="81" t="str">
        <f>Source!H174</f>
        <v>НДС, %</v>
      </c>
      <c r="D349" s="81"/>
      <c r="E349" s="81"/>
      <c r="F349" s="81"/>
      <c r="G349" s="7">
        <v>18</v>
      </c>
      <c r="H349" s="5"/>
    </row>
    <row r="351" spans="3:8" ht="12.75">
      <c r="C351" s="81" t="str">
        <f>Source!H175</f>
        <v>Сумма НДС, руб.</v>
      </c>
      <c r="D351" s="81"/>
      <c r="E351" s="81"/>
      <c r="F351" s="81"/>
      <c r="G351" s="7">
        <f>G347*G349/100</f>
        <v>14755.158000000001</v>
      </c>
      <c r="H351" s="5"/>
    </row>
    <row r="353" spans="3:8" ht="12.75">
      <c r="C353" s="81" t="str">
        <f>Source!H176</f>
        <v>Итого с НДС, руб.</v>
      </c>
      <c r="D353" s="81"/>
      <c r="E353" s="81"/>
      <c r="F353" s="81"/>
      <c r="G353" s="7">
        <f>SUM(G351,G347)</f>
        <v>96728.258</v>
      </c>
      <c r="H353" s="5"/>
    </row>
    <row r="355" spans="1:5" s="57" customFormat="1" ht="12.75">
      <c r="A355" s="57" t="s">
        <v>393</v>
      </c>
      <c r="C355" s="58"/>
      <c r="D355" s="58"/>
      <c r="E355" s="58"/>
    </row>
    <row r="356" spans="3:5" s="34" customFormat="1" ht="11.25">
      <c r="C356" s="86" t="s">
        <v>394</v>
      </c>
      <c r="D356" s="86"/>
      <c r="E356" s="86"/>
    </row>
    <row r="358" spans="1:5" s="57" customFormat="1" ht="12.75">
      <c r="A358" s="57" t="s">
        <v>395</v>
      </c>
      <c r="C358" s="44" t="s">
        <v>429</v>
      </c>
      <c r="D358" s="58"/>
      <c r="E358" s="58"/>
    </row>
    <row r="359" spans="3:5" s="34" customFormat="1" ht="11.25">
      <c r="C359" s="86" t="s">
        <v>394</v>
      </c>
      <c r="D359" s="86"/>
      <c r="E359" s="86"/>
    </row>
    <row r="361" spans="3:6" s="57" customFormat="1" ht="12.75">
      <c r="C361" s="44"/>
      <c r="F361" s="59"/>
    </row>
    <row r="362" spans="3:5" s="34" customFormat="1" ht="11.25">
      <c r="C362" s="86" t="s">
        <v>394</v>
      </c>
      <c r="D362" s="86"/>
      <c r="E362" s="86"/>
    </row>
    <row r="363" spans="3:8" ht="12.75">
      <c r="C363" s="81"/>
      <c r="D363" s="81"/>
      <c r="E363" s="81"/>
      <c r="F363" s="81"/>
      <c r="G363" s="7"/>
      <c r="H363" s="5"/>
    </row>
    <row r="365" spans="3:8" ht="12.75">
      <c r="C365" s="81"/>
      <c r="D365" s="81"/>
      <c r="E365" s="81"/>
      <c r="F365" s="81"/>
      <c r="G365" s="7"/>
      <c r="H365" s="5"/>
    </row>
    <row r="367" spans="3:8" ht="12.75">
      <c r="C367" s="81"/>
      <c r="D367" s="81"/>
      <c r="E367" s="81"/>
      <c r="F367" s="81"/>
      <c r="G367" s="7"/>
      <c r="H367" s="5"/>
    </row>
  </sheetData>
  <mergeCells count="74">
    <mergeCell ref="C10:G10"/>
    <mergeCell ref="F2:J2"/>
    <mergeCell ref="F3:J3"/>
    <mergeCell ref="A7:H7"/>
    <mergeCell ref="A8:G8"/>
    <mergeCell ref="C365:F365"/>
    <mergeCell ref="C367:F367"/>
    <mergeCell ref="C356:E356"/>
    <mergeCell ref="C359:E359"/>
    <mergeCell ref="C362:E362"/>
    <mergeCell ref="D22:K22"/>
    <mergeCell ref="D185:K185"/>
    <mergeCell ref="C363:F363"/>
    <mergeCell ref="C187:F187"/>
    <mergeCell ref="C189:F189"/>
    <mergeCell ref="C191:F191"/>
    <mergeCell ref="C193:F193"/>
    <mergeCell ref="C195:F195"/>
    <mergeCell ref="C197:F197"/>
    <mergeCell ref="C199:F199"/>
    <mergeCell ref="C201:F201"/>
    <mergeCell ref="C203:F203"/>
    <mergeCell ref="D206:K206"/>
    <mergeCell ref="D227:K227"/>
    <mergeCell ref="C229:F229"/>
    <mergeCell ref="C231:F231"/>
    <mergeCell ref="C233:F233"/>
    <mergeCell ref="C235:F235"/>
    <mergeCell ref="C237:F237"/>
    <mergeCell ref="C239:F239"/>
    <mergeCell ref="C241:F241"/>
    <mergeCell ref="C243:F243"/>
    <mergeCell ref="D246:K246"/>
    <mergeCell ref="D266:K266"/>
    <mergeCell ref="C268:F268"/>
    <mergeCell ref="C270:F270"/>
    <mergeCell ref="C272:F272"/>
    <mergeCell ref="C274:F274"/>
    <mergeCell ref="C276:F276"/>
    <mergeCell ref="C278:F278"/>
    <mergeCell ref="C280:F280"/>
    <mergeCell ref="C282:F282"/>
    <mergeCell ref="C299:F299"/>
    <mergeCell ref="C284:F284"/>
    <mergeCell ref="D287:K287"/>
    <mergeCell ref="D295:K295"/>
    <mergeCell ref="C297:F297"/>
    <mergeCell ref="D301:K301"/>
    <mergeCell ref="C303:F303"/>
    <mergeCell ref="C305:F305"/>
    <mergeCell ref="C307:F307"/>
    <mergeCell ref="C309:F309"/>
    <mergeCell ref="C311:F311"/>
    <mergeCell ref="C313:F313"/>
    <mergeCell ref="C315:F315"/>
    <mergeCell ref="C317:F317"/>
    <mergeCell ref="C319:F319"/>
    <mergeCell ref="C321:F321"/>
    <mergeCell ref="C323:F323"/>
    <mergeCell ref="C325:F325"/>
    <mergeCell ref="C327:F327"/>
    <mergeCell ref="C329:F329"/>
    <mergeCell ref="C331:F331"/>
    <mergeCell ref="C333:F333"/>
    <mergeCell ref="C335:F335"/>
    <mergeCell ref="C337:F337"/>
    <mergeCell ref="C339:F339"/>
    <mergeCell ref="C341:F341"/>
    <mergeCell ref="C343:F343"/>
    <mergeCell ref="C345:F345"/>
    <mergeCell ref="C353:F353"/>
    <mergeCell ref="C347:F347"/>
    <mergeCell ref="C349:F349"/>
    <mergeCell ref="C351:F351"/>
  </mergeCells>
  <printOptions/>
  <pageMargins left="0.56" right="0.29" top="0.39" bottom="0.34" header="0.21" footer="0.19"/>
  <pageSetup fitToHeight="0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T180"/>
  <sheetViews>
    <sheetView workbookViewId="0" topLeftCell="D155">
      <pane xSplit="4" topLeftCell="H4" activePane="topRight" state="frozen"/>
      <selection pane="topLeft" activeCell="D41" sqref="D41"/>
      <selection pane="topRight" activeCell="F163" sqref="F163"/>
    </sheetView>
  </sheetViews>
  <sheetFormatPr defaultColWidth="9.140625" defaultRowHeight="12.75"/>
  <cols>
    <col min="1" max="4" width="9.140625" style="0" customWidth="1"/>
    <col min="5" max="5" width="4.8515625" style="0" customWidth="1"/>
    <col min="6" max="6" width="9.140625" style="0" customWidth="1"/>
    <col min="7" max="7" width="18.421875" style="0" customWidth="1"/>
  </cols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19551</v>
      </c>
    </row>
    <row r="12" spans="1:103" ht="12.75">
      <c r="A12" s="1">
        <v>1</v>
      </c>
      <c r="B12" s="1">
        <v>1</v>
      </c>
      <c r="C12" s="1">
        <v>0</v>
      </c>
      <c r="D12" s="1">
        <f>ROW(A142)</f>
        <v>142</v>
      </c>
      <c r="E12" s="1">
        <v>0</v>
      </c>
      <c r="F12" s="1" t="s">
        <v>4</v>
      </c>
      <c r="G12" s="1" t="s">
        <v>405</v>
      </c>
      <c r="H12" s="1" t="s">
        <v>5</v>
      </c>
      <c r="I12" s="1">
        <v>0</v>
      </c>
      <c r="J12" s="1" t="s">
        <v>5</v>
      </c>
      <c r="K12" s="1" t="s">
        <v>5</v>
      </c>
      <c r="L12" s="1" t="s">
        <v>5</v>
      </c>
      <c r="M12" s="1" t="s">
        <v>5</v>
      </c>
      <c r="N12" s="1" t="s">
        <v>5</v>
      </c>
      <c r="O12" s="1" t="s">
        <v>5</v>
      </c>
      <c r="P12" s="1">
        <v>0</v>
      </c>
      <c r="Q12" s="1">
        <v>0</v>
      </c>
      <c r="R12" s="1" t="s">
        <v>5</v>
      </c>
      <c r="S12" s="1" t="s">
        <v>5</v>
      </c>
      <c r="T12" s="1" t="s">
        <v>5</v>
      </c>
      <c r="U12" s="1" t="s">
        <v>5</v>
      </c>
      <c r="V12" s="1">
        <v>-1</v>
      </c>
      <c r="W12" s="1" t="s">
        <v>5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 t="s">
        <v>5</v>
      </c>
      <c r="AM12" s="1" t="s">
        <v>5</v>
      </c>
      <c r="AN12" s="1">
        <v>0</v>
      </c>
      <c r="AO12" s="1" t="s">
        <v>5</v>
      </c>
      <c r="AP12" s="1" t="s">
        <v>5</v>
      </c>
      <c r="AQ12" s="1" t="s">
        <v>5</v>
      </c>
      <c r="AR12" s="1" t="s">
        <v>5</v>
      </c>
      <c r="AS12" s="1" t="s">
        <v>5</v>
      </c>
      <c r="AT12" s="1" t="s">
        <v>5</v>
      </c>
      <c r="AU12" s="1" t="s">
        <v>5</v>
      </c>
      <c r="AV12" s="1" t="s">
        <v>5</v>
      </c>
      <c r="AW12" s="1" t="s">
        <v>5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7696283</v>
      </c>
      <c r="BE12" s="1" t="s">
        <v>6</v>
      </c>
      <c r="BF12" s="1" t="s">
        <v>7</v>
      </c>
      <c r="BG12" s="1">
        <v>4338064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5511049</v>
      </c>
      <c r="CB12" s="1">
        <v>5511043</v>
      </c>
      <c r="CC12" s="1">
        <v>5511041</v>
      </c>
      <c r="CD12" s="1">
        <v>5511039</v>
      </c>
      <c r="CE12" s="1">
        <v>0</v>
      </c>
      <c r="CF12" s="1">
        <v>0</v>
      </c>
      <c r="CG12" s="1" t="s">
        <v>5</v>
      </c>
      <c r="CH12" s="1" t="s">
        <v>5</v>
      </c>
      <c r="CI12" s="1" t="s">
        <v>5</v>
      </c>
      <c r="CJ12" s="1">
        <v>0</v>
      </c>
      <c r="CK12" s="1">
        <v>5826876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7063924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B142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Газооборудование</v>
      </c>
      <c r="G18" s="2" t="str">
        <f t="shared" si="0"/>
        <v>Котельная в с. Филипповка Мелекесского района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24690.55</v>
      </c>
      <c r="P18" s="2">
        <f t="shared" si="0"/>
        <v>24007.48</v>
      </c>
      <c r="Q18" s="2">
        <f t="shared" si="0"/>
        <v>76.12</v>
      </c>
      <c r="R18" s="2">
        <f t="shared" si="0"/>
        <v>10.07</v>
      </c>
      <c r="S18" s="2">
        <f t="shared" si="0"/>
        <v>606.95</v>
      </c>
      <c r="T18" s="2">
        <f t="shared" si="0"/>
        <v>0</v>
      </c>
      <c r="U18" s="2">
        <f t="shared" si="0"/>
        <v>54.31</v>
      </c>
      <c r="V18" s="2">
        <f t="shared" si="0"/>
        <v>0.68</v>
      </c>
      <c r="W18" s="2">
        <f t="shared" si="0"/>
        <v>0</v>
      </c>
      <c r="X18" s="2">
        <f t="shared" si="0"/>
        <v>753.44</v>
      </c>
      <c r="Y18" s="2">
        <f t="shared" si="0"/>
        <v>487.53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ROW(A128)</f>
        <v>128</v>
      </c>
      <c r="E20" s="1"/>
      <c r="F20" s="1" t="s">
        <v>12</v>
      </c>
      <c r="G20" s="1" t="s">
        <v>13</v>
      </c>
      <c r="H20" s="1"/>
      <c r="I20" s="1"/>
      <c r="J20" s="1" t="s">
        <v>5</v>
      </c>
      <c r="K20" s="1"/>
      <c r="L20" s="1"/>
      <c r="M20" s="1"/>
      <c r="N20" s="1" t="s">
        <v>5</v>
      </c>
      <c r="O20" s="1"/>
      <c r="P20" s="1"/>
      <c r="Q20" s="1"/>
      <c r="R20" s="1" t="s">
        <v>5</v>
      </c>
      <c r="S20" s="1" t="s">
        <v>5</v>
      </c>
      <c r="T20" s="1" t="s">
        <v>5</v>
      </c>
      <c r="U20" s="1" t="s">
        <v>5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B128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на Газооборудование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24690.55</v>
      </c>
      <c r="P22" s="2">
        <f t="shared" si="1"/>
        <v>24007.48</v>
      </c>
      <c r="Q22" s="2">
        <f t="shared" si="1"/>
        <v>76.12</v>
      </c>
      <c r="R22" s="2">
        <f t="shared" si="1"/>
        <v>10.07</v>
      </c>
      <c r="S22" s="2">
        <f t="shared" si="1"/>
        <v>606.95</v>
      </c>
      <c r="T22" s="2">
        <f t="shared" si="1"/>
        <v>0</v>
      </c>
      <c r="U22" s="2">
        <f t="shared" si="1"/>
        <v>54.31</v>
      </c>
      <c r="V22" s="2">
        <f t="shared" si="1"/>
        <v>0.68</v>
      </c>
      <c r="W22" s="2">
        <f t="shared" si="1"/>
        <v>0</v>
      </c>
      <c r="X22" s="2">
        <f t="shared" si="1"/>
        <v>753.44</v>
      </c>
      <c r="Y22" s="2">
        <f t="shared" si="1"/>
        <v>487.53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spans="7:38" ht="12.75">
      <c r="G23">
        <v>0</v>
      </c>
      <c r="AL23" s="66">
        <f>Лист4!L18</f>
        <v>1.4</v>
      </c>
    </row>
    <row r="24" spans="1:59" ht="12.75">
      <c r="A24" s="1">
        <v>4</v>
      </c>
      <c r="B24" s="1">
        <v>1</v>
      </c>
      <c r="C24" s="1"/>
      <c r="D24" s="1">
        <f>ROW(A50)</f>
        <v>50</v>
      </c>
      <c r="E24" s="1"/>
      <c r="F24" s="1" t="s">
        <v>15</v>
      </c>
      <c r="G24" s="1" t="s">
        <v>15</v>
      </c>
      <c r="H24" s="1"/>
      <c r="I24" s="1"/>
      <c r="J24" s="1"/>
      <c r="K24" s="1"/>
      <c r="L24" s="1"/>
      <c r="M24" s="1"/>
      <c r="N24" s="1" t="s">
        <v>5</v>
      </c>
      <c r="O24" s="1"/>
      <c r="P24" s="1"/>
      <c r="Q24" s="1"/>
      <c r="R24" s="1" t="s">
        <v>5</v>
      </c>
      <c r="S24" s="1" t="s">
        <v>5</v>
      </c>
      <c r="T24" s="1" t="s">
        <v>5</v>
      </c>
      <c r="U24" s="1" t="s">
        <v>5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>$AL$23</f>
        <v>1.4</v>
      </c>
      <c r="AM24" s="1"/>
      <c r="BE24" t="s">
        <v>16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B50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Сантехнические работы</v>
      </c>
      <c r="G26" s="2" t="str">
        <f t="shared" si="2"/>
        <v>Сантехнические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12280.78</v>
      </c>
      <c r="P26" s="2">
        <f t="shared" si="2"/>
        <v>11705.38</v>
      </c>
      <c r="Q26" s="2">
        <f t="shared" si="2"/>
        <v>63.8</v>
      </c>
      <c r="R26" s="2">
        <f t="shared" si="2"/>
        <v>7.68</v>
      </c>
      <c r="S26" s="2">
        <f t="shared" si="2"/>
        <v>511.6</v>
      </c>
      <c r="T26" s="2">
        <f t="shared" si="2"/>
        <v>0</v>
      </c>
      <c r="U26" s="2">
        <f t="shared" si="2"/>
        <v>45</v>
      </c>
      <c r="V26" s="2">
        <f t="shared" si="2"/>
        <v>0.52</v>
      </c>
      <c r="W26" s="2">
        <f t="shared" si="2"/>
        <v>0</v>
      </c>
      <c r="X26" s="2">
        <f t="shared" si="2"/>
        <v>664.69</v>
      </c>
      <c r="Y26" s="2">
        <f t="shared" si="2"/>
        <v>431.01</v>
      </c>
      <c r="Z26" s="2">
        <f t="shared" si="2"/>
        <v>0</v>
      </c>
      <c r="AA26" s="2">
        <f t="shared" si="2"/>
        <v>0</v>
      </c>
      <c r="AB26" s="2">
        <f t="shared" si="2"/>
        <v>12280.78</v>
      </c>
      <c r="AC26" s="2">
        <f t="shared" si="2"/>
        <v>11705.38</v>
      </c>
      <c r="AD26" s="2">
        <f t="shared" si="2"/>
        <v>63.8</v>
      </c>
      <c r="AE26" s="2">
        <f t="shared" si="2"/>
        <v>7.68</v>
      </c>
      <c r="AF26" s="2">
        <f t="shared" si="2"/>
        <v>511.6</v>
      </c>
      <c r="AG26" s="2">
        <f t="shared" si="2"/>
        <v>0</v>
      </c>
      <c r="AH26" s="2">
        <f t="shared" si="2"/>
        <v>45</v>
      </c>
      <c r="AI26" s="2">
        <f t="shared" si="2"/>
        <v>0.52</v>
      </c>
      <c r="AJ26" s="2">
        <f t="shared" si="2"/>
        <v>0</v>
      </c>
      <c r="AK26" s="2">
        <f t="shared" si="2"/>
        <v>664.69</v>
      </c>
      <c r="AL26" s="2">
        <f t="shared" si="2"/>
        <v>431.01</v>
      </c>
      <c r="AM26" s="2">
        <f t="shared" si="2"/>
        <v>0</v>
      </c>
    </row>
    <row r="27" ht="12.75">
      <c r="AL27" s="64" t="s">
        <v>416</v>
      </c>
    </row>
    <row r="28" spans="1:150" ht="12.75">
      <c r="A28">
        <v>17</v>
      </c>
      <c r="B28">
        <v>1</v>
      </c>
      <c r="C28">
        <f>ROW(SmtRes!A17)</f>
        <v>17</v>
      </c>
      <c r="D28" t="s">
        <v>18</v>
      </c>
      <c r="E28" t="s">
        <v>17</v>
      </c>
      <c r="F28" t="s">
        <v>18</v>
      </c>
      <c r="G28" t="s">
        <v>19</v>
      </c>
      <c r="H28" t="s">
        <v>20</v>
      </c>
      <c r="I28">
        <v>0.005</v>
      </c>
      <c r="J28">
        <v>0</v>
      </c>
      <c r="O28">
        <f aca="true" t="shared" si="3" ref="O28:O48">ROUND(CP28,2)</f>
        <v>24</v>
      </c>
      <c r="P28">
        <f aca="true" t="shared" si="4" ref="P28:P48">ROUND(CQ28*I28,2)</f>
        <v>21.99</v>
      </c>
      <c r="Q28">
        <f aca="true" t="shared" si="5" ref="Q28:Q48">ROUND(CR28*I28,2)</f>
        <v>0.3</v>
      </c>
      <c r="R28">
        <f aca="true" t="shared" si="6" ref="R28:R48">ROUND(CS28*I28,2)</f>
        <v>0.04</v>
      </c>
      <c r="S28">
        <f aca="true" t="shared" si="7" ref="S28:S48">ROUND(CT28*I28,2)</f>
        <v>1.71</v>
      </c>
      <c r="T28">
        <f aca="true" t="shared" si="8" ref="T28:T48">ROUND(CU28*I28,2)</f>
        <v>0</v>
      </c>
      <c r="U28">
        <f aca="true" t="shared" si="9" ref="U28:U48">ROUND(CV28*I28,2)</f>
        <v>0.15</v>
      </c>
      <c r="V28">
        <f aca="true" t="shared" si="10" ref="V28:V48">ROUND(CW28*I28,2)</f>
        <v>0</v>
      </c>
      <c r="W28">
        <f aca="true" t="shared" si="11" ref="W28:W48">ROUND(CX28*I28,2)</f>
        <v>0</v>
      </c>
      <c r="X28">
        <f aca="true" t="shared" si="12" ref="X28:X48">ROUND(CY28,2)</f>
        <v>2.24</v>
      </c>
      <c r="Y28">
        <f aca="true" t="shared" si="13" ref="Y28:Y48">ROUND(CZ28,2)</f>
        <v>1.45</v>
      </c>
      <c r="AA28">
        <v>0</v>
      </c>
      <c r="AB28" s="62">
        <f aca="true" t="shared" si="14" ref="AB28:AB48">(AC28+AD28+AF28)</f>
        <v>4800.906499999999</v>
      </c>
      <c r="AC28">
        <f aca="true" t="shared" si="15" ref="AC28:AC48">AL28</f>
        <v>4398.673999999999</v>
      </c>
      <c r="AD28">
        <f aca="true" t="shared" si="16" ref="AD28:AD48">(AM28*1.25)</f>
        <v>60.625</v>
      </c>
      <c r="AE28">
        <f aca="true" t="shared" si="17" ref="AE28:AE48">(AN28*1.25)</f>
        <v>8.7125</v>
      </c>
      <c r="AF28">
        <f aca="true" t="shared" si="18" ref="AF28:AF48">(AO28*1.15)</f>
        <v>341.60749999999996</v>
      </c>
      <c r="AG28">
        <f aca="true" t="shared" si="19" ref="AG28:AG48">AP28</f>
        <v>0</v>
      </c>
      <c r="AH28">
        <f aca="true" t="shared" si="20" ref="AH28:AH48">AQ28</f>
        <v>30.91</v>
      </c>
      <c r="AI28">
        <f aca="true" t="shared" si="21" ref="AI28:AI48">AR28</f>
        <v>0.59</v>
      </c>
      <c r="AJ28">
        <f aca="true" t="shared" si="22" ref="AJ28:AJ48">AS28</f>
        <v>0</v>
      </c>
      <c r="AK28">
        <v>3487.46</v>
      </c>
      <c r="AL28" s="65">
        <f>3141.91*($AL$23)</f>
        <v>4398.673999999999</v>
      </c>
      <c r="AM28">
        <v>48.5</v>
      </c>
      <c r="AN28">
        <v>6.97</v>
      </c>
      <c r="AO28">
        <v>297.05</v>
      </c>
      <c r="AP28">
        <v>0</v>
      </c>
      <c r="AQ28">
        <v>30.91</v>
      </c>
      <c r="AR28">
        <v>0.59</v>
      </c>
      <c r="AS28">
        <v>0</v>
      </c>
      <c r="AT28">
        <v>128</v>
      </c>
      <c r="AU28">
        <v>83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21</v>
      </c>
      <c r="BM28">
        <v>25</v>
      </c>
      <c r="BN28">
        <v>0</v>
      </c>
      <c r="BO28" t="s">
        <v>18</v>
      </c>
      <c r="BP28">
        <v>1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aca="true" t="shared" si="23" ref="CP28:CP48">(P28+Q28+S28)</f>
        <v>24</v>
      </c>
      <c r="CQ28">
        <f aca="true" t="shared" si="24" ref="CQ28:CQ48">(AC28)*BC28</f>
        <v>4398.673999999999</v>
      </c>
      <c r="CR28">
        <f aca="true" t="shared" si="25" ref="CR28:CR48">(AD28)*BB28</f>
        <v>60.625</v>
      </c>
      <c r="CS28">
        <f aca="true" t="shared" si="26" ref="CS28:CS48">(AE28)*BS28</f>
        <v>8.7125</v>
      </c>
      <c r="CT28">
        <f aca="true" t="shared" si="27" ref="CT28:CT48">(AF28)*BA28</f>
        <v>341.60749999999996</v>
      </c>
      <c r="CU28">
        <f aca="true" t="shared" si="28" ref="CU28:CU48">(AG28)*BT28</f>
        <v>0</v>
      </c>
      <c r="CV28">
        <f aca="true" t="shared" si="29" ref="CV28:CV48">(AH28)*BU28</f>
        <v>30.91</v>
      </c>
      <c r="CW28">
        <f aca="true" t="shared" si="30" ref="CW28:CW48">(AI28)*BV28</f>
        <v>0.59</v>
      </c>
      <c r="CX28">
        <f aca="true" t="shared" si="31" ref="CX28:CX48">(AJ28)*BW28</f>
        <v>0</v>
      </c>
      <c r="CY28">
        <f aca="true" t="shared" si="32" ref="CY28:CY48">(((S28+R28)*AT28)/100)</f>
        <v>2.24</v>
      </c>
      <c r="CZ28">
        <f aca="true" t="shared" si="33" ref="CZ28:CZ48">(((S28+R28)*AU28)/100)</f>
        <v>1.4525</v>
      </c>
      <c r="DE28" t="s">
        <v>22</v>
      </c>
      <c r="DF28" t="s">
        <v>22</v>
      </c>
      <c r="DG28" t="s">
        <v>23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20</v>
      </c>
      <c r="DW28" t="s">
        <v>24</v>
      </c>
      <c r="DX28">
        <v>100</v>
      </c>
      <c r="EE28">
        <v>6294917</v>
      </c>
      <c r="EF28">
        <v>2</v>
      </c>
      <c r="EG28" t="s">
        <v>25</v>
      </c>
      <c r="EH28">
        <v>0</v>
      </c>
      <c r="EJ28">
        <v>1</v>
      </c>
      <c r="EK28">
        <v>25</v>
      </c>
      <c r="EL28" t="s">
        <v>26</v>
      </c>
      <c r="EM28" t="s">
        <v>27</v>
      </c>
      <c r="ET28">
        <v>655.64</v>
      </c>
    </row>
    <row r="29" spans="1:150" ht="12.75">
      <c r="A29">
        <v>17</v>
      </c>
      <c r="B29">
        <v>1</v>
      </c>
      <c r="C29">
        <f>ROW(SmtRes!A34)</f>
        <v>34</v>
      </c>
      <c r="D29" t="s">
        <v>29</v>
      </c>
      <c r="E29" t="s">
        <v>28</v>
      </c>
      <c r="F29" t="s">
        <v>29</v>
      </c>
      <c r="G29" t="s">
        <v>30</v>
      </c>
      <c r="H29" t="s">
        <v>20</v>
      </c>
      <c r="I29">
        <v>0.05</v>
      </c>
      <c r="J29">
        <v>0</v>
      </c>
      <c r="O29">
        <f t="shared" si="3"/>
        <v>251.29</v>
      </c>
      <c r="P29">
        <f t="shared" si="4"/>
        <v>231.18</v>
      </c>
      <c r="Q29">
        <f t="shared" si="5"/>
        <v>3.03</v>
      </c>
      <c r="R29">
        <f t="shared" si="6"/>
        <v>0.44</v>
      </c>
      <c r="S29">
        <f t="shared" si="7"/>
        <v>17.08</v>
      </c>
      <c r="T29">
        <f t="shared" si="8"/>
        <v>0</v>
      </c>
      <c r="U29">
        <f t="shared" si="9"/>
        <v>1.55</v>
      </c>
      <c r="V29">
        <f t="shared" si="10"/>
        <v>0.03</v>
      </c>
      <c r="W29">
        <f t="shared" si="11"/>
        <v>0</v>
      </c>
      <c r="X29">
        <f t="shared" si="12"/>
        <v>22.43</v>
      </c>
      <c r="Y29">
        <f t="shared" si="13"/>
        <v>14.54</v>
      </c>
      <c r="AA29">
        <v>0</v>
      </c>
      <c r="AB29" s="62">
        <f t="shared" si="14"/>
        <v>5025.760499999999</v>
      </c>
      <c r="AC29">
        <f t="shared" si="15"/>
        <v>4623.527999999999</v>
      </c>
      <c r="AD29">
        <f t="shared" si="16"/>
        <v>60.625</v>
      </c>
      <c r="AE29">
        <f t="shared" si="17"/>
        <v>8.7125</v>
      </c>
      <c r="AF29">
        <f t="shared" si="18"/>
        <v>341.60749999999996</v>
      </c>
      <c r="AG29">
        <f t="shared" si="19"/>
        <v>0</v>
      </c>
      <c r="AH29">
        <f t="shared" si="20"/>
        <v>30.91</v>
      </c>
      <c r="AI29">
        <f t="shared" si="21"/>
        <v>0.59</v>
      </c>
      <c r="AJ29">
        <f t="shared" si="22"/>
        <v>0</v>
      </c>
      <c r="AK29">
        <v>3648.07</v>
      </c>
      <c r="AL29" s="65">
        <f>3302.52*($AL$23)</f>
        <v>4623.527999999999</v>
      </c>
      <c r="AM29">
        <v>48.5</v>
      </c>
      <c r="AN29">
        <v>6.97</v>
      </c>
      <c r="AO29">
        <v>297.05</v>
      </c>
      <c r="AP29">
        <v>0</v>
      </c>
      <c r="AQ29">
        <v>30.91</v>
      </c>
      <c r="AR29">
        <v>0.59</v>
      </c>
      <c r="AS29">
        <v>0</v>
      </c>
      <c r="AT29">
        <v>128</v>
      </c>
      <c r="AU29">
        <v>83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31</v>
      </c>
      <c r="BM29">
        <v>25</v>
      </c>
      <c r="BN29">
        <v>0</v>
      </c>
      <c r="BO29" t="s">
        <v>29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23"/>
        <v>251.29000000000002</v>
      </c>
      <c r="CQ29">
        <f t="shared" si="24"/>
        <v>4623.527999999999</v>
      </c>
      <c r="CR29">
        <f t="shared" si="25"/>
        <v>60.625</v>
      </c>
      <c r="CS29">
        <f t="shared" si="26"/>
        <v>8.7125</v>
      </c>
      <c r="CT29">
        <f t="shared" si="27"/>
        <v>341.60749999999996</v>
      </c>
      <c r="CU29">
        <f t="shared" si="28"/>
        <v>0</v>
      </c>
      <c r="CV29">
        <f t="shared" si="29"/>
        <v>30.91</v>
      </c>
      <c r="CW29">
        <f t="shared" si="30"/>
        <v>0.59</v>
      </c>
      <c r="CX29">
        <f t="shared" si="31"/>
        <v>0</v>
      </c>
      <c r="CY29">
        <f t="shared" si="32"/>
        <v>22.4256</v>
      </c>
      <c r="CZ29">
        <f t="shared" si="33"/>
        <v>14.541599999999999</v>
      </c>
      <c r="DE29" t="s">
        <v>22</v>
      </c>
      <c r="DF29" t="s">
        <v>22</v>
      </c>
      <c r="DG29" t="s">
        <v>23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20</v>
      </c>
      <c r="DW29" t="s">
        <v>24</v>
      </c>
      <c r="DX29">
        <v>100</v>
      </c>
      <c r="EE29">
        <v>6294917</v>
      </c>
      <c r="EF29">
        <v>2</v>
      </c>
      <c r="EG29" t="s">
        <v>25</v>
      </c>
      <c r="EH29">
        <v>0</v>
      </c>
      <c r="EJ29">
        <v>1</v>
      </c>
      <c r="EK29">
        <v>25</v>
      </c>
      <c r="EL29" t="s">
        <v>26</v>
      </c>
      <c r="EM29" t="s">
        <v>27</v>
      </c>
      <c r="ET29">
        <v>6853.88</v>
      </c>
    </row>
    <row r="30" spans="1:150" ht="12.75">
      <c r="A30">
        <v>17</v>
      </c>
      <c r="B30">
        <v>1</v>
      </c>
      <c r="C30">
        <f>ROW(SmtRes!A51)</f>
        <v>51</v>
      </c>
      <c r="D30" t="s">
        <v>33</v>
      </c>
      <c r="E30" t="s">
        <v>32</v>
      </c>
      <c r="F30" t="s">
        <v>33</v>
      </c>
      <c r="G30" t="s">
        <v>34</v>
      </c>
      <c r="H30" t="s">
        <v>20</v>
      </c>
      <c r="I30">
        <v>0.06</v>
      </c>
      <c r="J30">
        <v>0</v>
      </c>
      <c r="O30">
        <f t="shared" si="3"/>
        <v>311.95</v>
      </c>
      <c r="P30">
        <f t="shared" si="4"/>
        <v>287.81</v>
      </c>
      <c r="Q30">
        <f t="shared" si="5"/>
        <v>3.64</v>
      </c>
      <c r="R30">
        <f t="shared" si="6"/>
        <v>0.52</v>
      </c>
      <c r="S30">
        <f t="shared" si="7"/>
        <v>20.5</v>
      </c>
      <c r="T30">
        <f t="shared" si="8"/>
        <v>0</v>
      </c>
      <c r="U30">
        <f t="shared" si="9"/>
        <v>1.85</v>
      </c>
      <c r="V30">
        <f t="shared" si="10"/>
        <v>0.04</v>
      </c>
      <c r="W30">
        <f t="shared" si="11"/>
        <v>0</v>
      </c>
      <c r="X30">
        <f t="shared" si="12"/>
        <v>26.91</v>
      </c>
      <c r="Y30">
        <f t="shared" si="13"/>
        <v>17.45</v>
      </c>
      <c r="AA30">
        <v>0</v>
      </c>
      <c r="AB30" s="62">
        <f t="shared" si="14"/>
        <v>5199.094499999999</v>
      </c>
      <c r="AC30">
        <f t="shared" si="15"/>
        <v>4796.861999999999</v>
      </c>
      <c r="AD30">
        <f t="shared" si="16"/>
        <v>60.625</v>
      </c>
      <c r="AE30">
        <f t="shared" si="17"/>
        <v>8.7125</v>
      </c>
      <c r="AF30">
        <f t="shared" si="18"/>
        <v>341.60749999999996</v>
      </c>
      <c r="AG30">
        <f t="shared" si="19"/>
        <v>0</v>
      </c>
      <c r="AH30">
        <f t="shared" si="20"/>
        <v>30.91</v>
      </c>
      <c r="AI30">
        <f t="shared" si="21"/>
        <v>0.59</v>
      </c>
      <c r="AJ30">
        <f t="shared" si="22"/>
        <v>0</v>
      </c>
      <c r="AK30">
        <v>3771.88</v>
      </c>
      <c r="AL30" s="65">
        <f>3426.33*($AL$23)</f>
        <v>4796.861999999999</v>
      </c>
      <c r="AM30">
        <v>48.5</v>
      </c>
      <c r="AN30">
        <v>6.97</v>
      </c>
      <c r="AO30">
        <v>297.05</v>
      </c>
      <c r="AP30">
        <v>0</v>
      </c>
      <c r="AQ30">
        <v>30.91</v>
      </c>
      <c r="AR30">
        <v>0.59</v>
      </c>
      <c r="AS30">
        <v>0</v>
      </c>
      <c r="AT30">
        <v>128</v>
      </c>
      <c r="AU30">
        <v>83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35</v>
      </c>
      <c r="BM30">
        <v>25</v>
      </c>
      <c r="BN30">
        <v>0</v>
      </c>
      <c r="BO30" t="s">
        <v>33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23"/>
        <v>311.95</v>
      </c>
      <c r="CQ30">
        <f t="shared" si="24"/>
        <v>4796.861999999999</v>
      </c>
      <c r="CR30">
        <f t="shared" si="25"/>
        <v>60.625</v>
      </c>
      <c r="CS30">
        <f t="shared" si="26"/>
        <v>8.7125</v>
      </c>
      <c r="CT30">
        <f t="shared" si="27"/>
        <v>341.60749999999996</v>
      </c>
      <c r="CU30">
        <f t="shared" si="28"/>
        <v>0</v>
      </c>
      <c r="CV30">
        <f t="shared" si="29"/>
        <v>30.91</v>
      </c>
      <c r="CW30">
        <f t="shared" si="30"/>
        <v>0.59</v>
      </c>
      <c r="CX30">
        <f t="shared" si="31"/>
        <v>0</v>
      </c>
      <c r="CY30">
        <f t="shared" si="32"/>
        <v>26.9056</v>
      </c>
      <c r="CZ30">
        <f t="shared" si="33"/>
        <v>17.4466</v>
      </c>
      <c r="DE30" t="s">
        <v>22</v>
      </c>
      <c r="DF30" t="s">
        <v>22</v>
      </c>
      <c r="DG30" t="s">
        <v>23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20</v>
      </c>
      <c r="DW30" t="s">
        <v>24</v>
      </c>
      <c r="DX30">
        <v>100</v>
      </c>
      <c r="EE30">
        <v>6294917</v>
      </c>
      <c r="EF30">
        <v>2</v>
      </c>
      <c r="EG30" t="s">
        <v>25</v>
      </c>
      <c r="EH30">
        <v>0</v>
      </c>
      <c r="EJ30">
        <v>1</v>
      </c>
      <c r="EK30">
        <v>25</v>
      </c>
      <c r="EL30" t="s">
        <v>26</v>
      </c>
      <c r="EM30" t="s">
        <v>27</v>
      </c>
      <c r="ET30">
        <v>8499.64</v>
      </c>
    </row>
    <row r="31" spans="1:150" ht="12.75">
      <c r="A31">
        <v>17</v>
      </c>
      <c r="B31">
        <v>1</v>
      </c>
      <c r="C31">
        <f>ROW(SmtRes!A65)</f>
        <v>65</v>
      </c>
      <c r="D31" t="s">
        <v>37</v>
      </c>
      <c r="E31" t="s">
        <v>36</v>
      </c>
      <c r="F31" t="s">
        <v>37</v>
      </c>
      <c r="G31" t="s">
        <v>38</v>
      </c>
      <c r="H31" t="s">
        <v>20</v>
      </c>
      <c r="I31">
        <v>0.08</v>
      </c>
      <c r="J31">
        <v>0</v>
      </c>
      <c r="O31">
        <f t="shared" si="3"/>
        <v>1555.97</v>
      </c>
      <c r="P31">
        <f t="shared" si="4"/>
        <v>1468.4</v>
      </c>
      <c r="Q31">
        <f t="shared" si="5"/>
        <v>15.96</v>
      </c>
      <c r="R31">
        <f t="shared" si="6"/>
        <v>2.09</v>
      </c>
      <c r="S31">
        <f t="shared" si="7"/>
        <v>71.61</v>
      </c>
      <c r="T31">
        <f t="shared" si="8"/>
        <v>0</v>
      </c>
      <c r="U31">
        <f t="shared" si="9"/>
        <v>6.38</v>
      </c>
      <c r="V31">
        <f t="shared" si="10"/>
        <v>0.14</v>
      </c>
      <c r="W31">
        <f t="shared" si="11"/>
        <v>0</v>
      </c>
      <c r="X31">
        <f t="shared" si="12"/>
        <v>94.34</v>
      </c>
      <c r="Y31">
        <f t="shared" si="13"/>
        <v>61.17</v>
      </c>
      <c r="AA31">
        <v>0</v>
      </c>
      <c r="AB31" s="62">
        <f t="shared" si="14"/>
        <v>19449.5285</v>
      </c>
      <c r="AC31">
        <f t="shared" si="15"/>
        <v>18354.951999999997</v>
      </c>
      <c r="AD31">
        <f t="shared" si="16"/>
        <v>199.46249999999998</v>
      </c>
      <c r="AE31">
        <f t="shared" si="17"/>
        <v>26.125</v>
      </c>
      <c r="AF31">
        <f t="shared" si="18"/>
        <v>895.1139999999999</v>
      </c>
      <c r="AG31">
        <f t="shared" si="19"/>
        <v>0</v>
      </c>
      <c r="AH31">
        <f t="shared" si="20"/>
        <v>79.75</v>
      </c>
      <c r="AI31">
        <f t="shared" si="21"/>
        <v>1.77</v>
      </c>
      <c r="AJ31">
        <f t="shared" si="22"/>
        <v>0</v>
      </c>
      <c r="AK31">
        <v>14048.61</v>
      </c>
      <c r="AL31" s="65">
        <f>13110.68*($AL$23)</f>
        <v>18354.951999999997</v>
      </c>
      <c r="AM31">
        <v>159.57</v>
      </c>
      <c r="AN31">
        <v>20.9</v>
      </c>
      <c r="AO31">
        <v>778.36</v>
      </c>
      <c r="AP31">
        <v>0</v>
      </c>
      <c r="AQ31">
        <v>79.75</v>
      </c>
      <c r="AR31">
        <v>1.77</v>
      </c>
      <c r="AS31">
        <v>0</v>
      </c>
      <c r="AT31">
        <v>128</v>
      </c>
      <c r="AU31">
        <v>83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39</v>
      </c>
      <c r="BM31">
        <v>25</v>
      </c>
      <c r="BN31">
        <v>0</v>
      </c>
      <c r="BO31" t="s">
        <v>37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23"/>
        <v>1555.97</v>
      </c>
      <c r="CQ31">
        <f t="shared" si="24"/>
        <v>18354.951999999997</v>
      </c>
      <c r="CR31">
        <f t="shared" si="25"/>
        <v>199.46249999999998</v>
      </c>
      <c r="CS31">
        <f t="shared" si="26"/>
        <v>26.125</v>
      </c>
      <c r="CT31">
        <f t="shared" si="27"/>
        <v>895.1139999999999</v>
      </c>
      <c r="CU31">
        <f t="shared" si="28"/>
        <v>0</v>
      </c>
      <c r="CV31">
        <f t="shared" si="29"/>
        <v>79.75</v>
      </c>
      <c r="CW31">
        <f t="shared" si="30"/>
        <v>1.77</v>
      </c>
      <c r="CX31">
        <f t="shared" si="31"/>
        <v>0</v>
      </c>
      <c r="CY31">
        <f t="shared" si="32"/>
        <v>94.336</v>
      </c>
      <c r="CZ31">
        <f t="shared" si="33"/>
        <v>61.17100000000001</v>
      </c>
      <c r="DE31" t="s">
        <v>22</v>
      </c>
      <c r="DF31" t="s">
        <v>22</v>
      </c>
      <c r="DG31" t="s">
        <v>23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1003</v>
      </c>
      <c r="DV31" t="s">
        <v>20</v>
      </c>
      <c r="DW31" t="s">
        <v>24</v>
      </c>
      <c r="DX31">
        <v>100</v>
      </c>
      <c r="EE31">
        <v>6294917</v>
      </c>
      <c r="EF31">
        <v>2</v>
      </c>
      <c r="EG31" t="s">
        <v>25</v>
      </c>
      <c r="EH31">
        <v>0</v>
      </c>
      <c r="EJ31">
        <v>1</v>
      </c>
      <c r="EK31">
        <v>25</v>
      </c>
      <c r="EL31" t="s">
        <v>26</v>
      </c>
      <c r="EM31" t="s">
        <v>27</v>
      </c>
      <c r="ET31">
        <v>42047.54</v>
      </c>
    </row>
    <row r="32" spans="1:150" ht="12.75">
      <c r="A32">
        <v>17</v>
      </c>
      <c r="B32">
        <v>1</v>
      </c>
      <c r="C32">
        <f>ROW(SmtRes!A79)</f>
        <v>79</v>
      </c>
      <c r="D32" t="s">
        <v>41</v>
      </c>
      <c r="E32" t="s">
        <v>40</v>
      </c>
      <c r="F32" t="s">
        <v>41</v>
      </c>
      <c r="G32" t="s">
        <v>42</v>
      </c>
      <c r="H32" t="s">
        <v>20</v>
      </c>
      <c r="I32">
        <v>0.1</v>
      </c>
      <c r="J32">
        <v>0</v>
      </c>
      <c r="O32">
        <f t="shared" si="3"/>
        <v>871.22</v>
      </c>
      <c r="P32">
        <f t="shared" si="4"/>
        <v>791.48</v>
      </c>
      <c r="Q32">
        <f t="shared" si="5"/>
        <v>11.46</v>
      </c>
      <c r="R32">
        <f t="shared" si="6"/>
        <v>1.57</v>
      </c>
      <c r="S32">
        <f t="shared" si="7"/>
        <v>68.28</v>
      </c>
      <c r="T32">
        <f t="shared" si="8"/>
        <v>0</v>
      </c>
      <c r="U32">
        <f t="shared" si="9"/>
        <v>6.08</v>
      </c>
      <c r="V32">
        <f t="shared" si="10"/>
        <v>0.11</v>
      </c>
      <c r="W32">
        <f t="shared" si="11"/>
        <v>0</v>
      </c>
      <c r="X32">
        <f t="shared" si="12"/>
        <v>89.41</v>
      </c>
      <c r="Y32">
        <f t="shared" si="13"/>
        <v>57.98</v>
      </c>
      <c r="AA32">
        <v>0</v>
      </c>
      <c r="AB32" s="62">
        <f t="shared" si="14"/>
        <v>8712.133499999998</v>
      </c>
      <c r="AC32">
        <f t="shared" si="15"/>
        <v>7914.815999999999</v>
      </c>
      <c r="AD32">
        <f t="shared" si="16"/>
        <v>114.5625</v>
      </c>
      <c r="AE32">
        <f t="shared" si="17"/>
        <v>15.649999999999999</v>
      </c>
      <c r="AF32">
        <f t="shared" si="18"/>
        <v>682.755</v>
      </c>
      <c r="AG32">
        <f t="shared" si="19"/>
        <v>0</v>
      </c>
      <c r="AH32">
        <f t="shared" si="20"/>
        <v>60.83</v>
      </c>
      <c r="AI32">
        <f t="shared" si="21"/>
        <v>1.06</v>
      </c>
      <c r="AJ32">
        <f t="shared" si="22"/>
        <v>0</v>
      </c>
      <c r="AK32">
        <v>6338.79</v>
      </c>
      <c r="AL32" s="65">
        <f>5653.44*($AL$23)</f>
        <v>7914.815999999999</v>
      </c>
      <c r="AM32">
        <v>91.65</v>
      </c>
      <c r="AN32">
        <v>12.52</v>
      </c>
      <c r="AO32">
        <v>593.7</v>
      </c>
      <c r="AP32">
        <v>0</v>
      </c>
      <c r="AQ32">
        <v>60.83</v>
      </c>
      <c r="AR32">
        <v>1.06</v>
      </c>
      <c r="AS32">
        <v>0</v>
      </c>
      <c r="AT32">
        <v>128</v>
      </c>
      <c r="AU32">
        <v>83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43</v>
      </c>
      <c r="BM32">
        <v>25</v>
      </c>
      <c r="BN32">
        <v>0</v>
      </c>
      <c r="BO32" t="s">
        <v>41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CF32">
        <v>0</v>
      </c>
      <c r="CG32">
        <v>0</v>
      </c>
      <c r="CM32">
        <v>0</v>
      </c>
      <c r="CO32">
        <v>0</v>
      </c>
      <c r="CP32">
        <f t="shared" si="23"/>
        <v>871.22</v>
      </c>
      <c r="CQ32">
        <f t="shared" si="24"/>
        <v>7914.815999999999</v>
      </c>
      <c r="CR32">
        <f t="shared" si="25"/>
        <v>114.5625</v>
      </c>
      <c r="CS32">
        <f t="shared" si="26"/>
        <v>15.649999999999999</v>
      </c>
      <c r="CT32">
        <f t="shared" si="27"/>
        <v>682.755</v>
      </c>
      <c r="CU32">
        <f t="shared" si="28"/>
        <v>0</v>
      </c>
      <c r="CV32">
        <f t="shared" si="29"/>
        <v>60.83</v>
      </c>
      <c r="CW32">
        <f t="shared" si="30"/>
        <v>1.06</v>
      </c>
      <c r="CX32">
        <f t="shared" si="31"/>
        <v>0</v>
      </c>
      <c r="CY32">
        <f t="shared" si="32"/>
        <v>89.40799999999999</v>
      </c>
      <c r="CZ32">
        <f t="shared" si="33"/>
        <v>57.97549999999999</v>
      </c>
      <c r="DE32" t="s">
        <v>22</v>
      </c>
      <c r="DF32" t="s">
        <v>22</v>
      </c>
      <c r="DG32" t="s">
        <v>23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1003</v>
      </c>
      <c r="DV32" t="s">
        <v>20</v>
      </c>
      <c r="DW32" t="s">
        <v>24</v>
      </c>
      <c r="DX32">
        <v>100</v>
      </c>
      <c r="EE32">
        <v>6294917</v>
      </c>
      <c r="EF32">
        <v>2</v>
      </c>
      <c r="EG32" t="s">
        <v>25</v>
      </c>
      <c r="EH32">
        <v>0</v>
      </c>
      <c r="EJ32">
        <v>1</v>
      </c>
      <c r="EK32">
        <v>25</v>
      </c>
      <c r="EL32" t="s">
        <v>26</v>
      </c>
      <c r="EM32" t="s">
        <v>27</v>
      </c>
      <c r="ET32">
        <v>23867.96</v>
      </c>
    </row>
    <row r="33" spans="1:150" ht="12.75">
      <c r="A33">
        <v>17</v>
      </c>
      <c r="B33">
        <v>1</v>
      </c>
      <c r="C33">
        <f>ROW(SmtRes!A84)</f>
        <v>84</v>
      </c>
      <c r="D33" t="s">
        <v>45</v>
      </c>
      <c r="E33" t="s">
        <v>44</v>
      </c>
      <c r="F33" t="s">
        <v>45</v>
      </c>
      <c r="G33" t="s">
        <v>46</v>
      </c>
      <c r="H33" t="s">
        <v>20</v>
      </c>
      <c r="I33">
        <v>0.295</v>
      </c>
      <c r="J33">
        <v>0</v>
      </c>
      <c r="O33">
        <f t="shared" si="3"/>
        <v>151.92</v>
      </c>
      <c r="P33">
        <f t="shared" si="4"/>
        <v>18.6</v>
      </c>
      <c r="Q33">
        <f t="shared" si="5"/>
        <v>0</v>
      </c>
      <c r="R33">
        <f t="shared" si="6"/>
        <v>0</v>
      </c>
      <c r="S33">
        <f t="shared" si="7"/>
        <v>133.32</v>
      </c>
      <c r="T33">
        <f t="shared" si="8"/>
        <v>0</v>
      </c>
      <c r="U33">
        <f t="shared" si="9"/>
        <v>10.3</v>
      </c>
      <c r="V33">
        <f t="shared" si="10"/>
        <v>0</v>
      </c>
      <c r="W33">
        <f t="shared" si="11"/>
        <v>0</v>
      </c>
      <c r="X33">
        <f t="shared" si="12"/>
        <v>170.65</v>
      </c>
      <c r="Y33">
        <f t="shared" si="13"/>
        <v>110.66</v>
      </c>
      <c r="AA33">
        <v>0</v>
      </c>
      <c r="AB33" s="62">
        <f t="shared" si="14"/>
        <v>514.9575</v>
      </c>
      <c r="AC33">
        <f t="shared" si="15"/>
        <v>63.041999999999994</v>
      </c>
      <c r="AD33">
        <f t="shared" si="16"/>
        <v>0</v>
      </c>
      <c r="AE33">
        <f t="shared" si="17"/>
        <v>0</v>
      </c>
      <c r="AF33">
        <f t="shared" si="18"/>
        <v>451.9155</v>
      </c>
      <c r="AG33">
        <f t="shared" si="19"/>
        <v>0</v>
      </c>
      <c r="AH33">
        <f t="shared" si="20"/>
        <v>34.9</v>
      </c>
      <c r="AI33">
        <f t="shared" si="21"/>
        <v>0</v>
      </c>
      <c r="AJ33">
        <f t="shared" si="22"/>
        <v>0</v>
      </c>
      <c r="AK33">
        <v>438</v>
      </c>
      <c r="AL33" s="65">
        <f>45.03*($AL$23)</f>
        <v>63.041999999999994</v>
      </c>
      <c r="AM33">
        <v>0</v>
      </c>
      <c r="AN33">
        <v>0</v>
      </c>
      <c r="AO33">
        <v>392.97</v>
      </c>
      <c r="AP33">
        <v>0</v>
      </c>
      <c r="AQ33">
        <v>34.9</v>
      </c>
      <c r="AR33">
        <v>0</v>
      </c>
      <c r="AS33">
        <v>0</v>
      </c>
      <c r="AT33">
        <v>128</v>
      </c>
      <c r="AU33">
        <v>83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47</v>
      </c>
      <c r="BM33">
        <v>25</v>
      </c>
      <c r="BN33">
        <v>0</v>
      </c>
      <c r="BO33" t="s">
        <v>45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CF33">
        <v>0</v>
      </c>
      <c r="CG33">
        <v>0</v>
      </c>
      <c r="CM33">
        <v>0</v>
      </c>
      <c r="CO33">
        <v>0</v>
      </c>
      <c r="CP33">
        <f t="shared" si="23"/>
        <v>151.92</v>
      </c>
      <c r="CQ33">
        <f t="shared" si="24"/>
        <v>63.041999999999994</v>
      </c>
      <c r="CR33">
        <f t="shared" si="25"/>
        <v>0</v>
      </c>
      <c r="CS33">
        <f t="shared" si="26"/>
        <v>0</v>
      </c>
      <c r="CT33">
        <f t="shared" si="27"/>
        <v>451.9155</v>
      </c>
      <c r="CU33">
        <f t="shared" si="28"/>
        <v>0</v>
      </c>
      <c r="CV33">
        <f t="shared" si="29"/>
        <v>34.9</v>
      </c>
      <c r="CW33">
        <f t="shared" si="30"/>
        <v>0</v>
      </c>
      <c r="CX33">
        <f t="shared" si="31"/>
        <v>0</v>
      </c>
      <c r="CY33">
        <f t="shared" si="32"/>
        <v>170.6496</v>
      </c>
      <c r="CZ33">
        <f t="shared" si="33"/>
        <v>110.65559999999999</v>
      </c>
      <c r="DE33" t="s">
        <v>22</v>
      </c>
      <c r="DF33" t="s">
        <v>22</v>
      </c>
      <c r="DG33" t="s">
        <v>23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1003</v>
      </c>
      <c r="DV33" t="s">
        <v>20</v>
      </c>
      <c r="DW33" t="s">
        <v>48</v>
      </c>
      <c r="DX33">
        <v>100</v>
      </c>
      <c r="EE33">
        <v>6294917</v>
      </c>
      <c r="EF33">
        <v>2</v>
      </c>
      <c r="EG33" t="s">
        <v>25</v>
      </c>
      <c r="EH33">
        <v>0</v>
      </c>
      <c r="EJ33">
        <v>1</v>
      </c>
      <c r="EK33">
        <v>25</v>
      </c>
      <c r="EL33" t="s">
        <v>26</v>
      </c>
      <c r="EM33" t="s">
        <v>27</v>
      </c>
      <c r="ET33">
        <v>5424.2</v>
      </c>
    </row>
    <row r="34" spans="1:150" ht="12.75">
      <c r="A34">
        <v>17</v>
      </c>
      <c r="B34">
        <v>1</v>
      </c>
      <c r="C34">
        <f>ROW(SmtRes!A96)</f>
        <v>96</v>
      </c>
      <c r="D34" t="s">
        <v>50</v>
      </c>
      <c r="E34" t="s">
        <v>49</v>
      </c>
      <c r="F34" t="s">
        <v>50</v>
      </c>
      <c r="G34" t="s">
        <v>51</v>
      </c>
      <c r="H34" t="s">
        <v>52</v>
      </c>
      <c r="I34">
        <v>5</v>
      </c>
      <c r="J34">
        <v>0</v>
      </c>
      <c r="O34">
        <f t="shared" si="3"/>
        <v>400.15</v>
      </c>
      <c r="P34">
        <f t="shared" si="4"/>
        <v>313.25</v>
      </c>
      <c r="Q34">
        <f t="shared" si="5"/>
        <v>10.25</v>
      </c>
      <c r="R34">
        <f t="shared" si="6"/>
        <v>0.75</v>
      </c>
      <c r="S34">
        <f t="shared" si="7"/>
        <v>76.65</v>
      </c>
      <c r="T34">
        <f t="shared" si="8"/>
        <v>0</v>
      </c>
      <c r="U34">
        <f t="shared" si="9"/>
        <v>7.35</v>
      </c>
      <c r="V34">
        <f t="shared" si="10"/>
        <v>0.05</v>
      </c>
      <c r="W34">
        <f t="shared" si="11"/>
        <v>0</v>
      </c>
      <c r="X34">
        <f t="shared" si="12"/>
        <v>99.07</v>
      </c>
      <c r="Y34">
        <f t="shared" si="13"/>
        <v>64.24</v>
      </c>
      <c r="AA34">
        <v>0</v>
      </c>
      <c r="AB34" s="62">
        <f t="shared" si="14"/>
        <v>80.0295</v>
      </c>
      <c r="AC34">
        <f t="shared" si="15"/>
        <v>62.65</v>
      </c>
      <c r="AD34">
        <f t="shared" si="16"/>
        <v>2.05</v>
      </c>
      <c r="AE34">
        <f t="shared" si="17"/>
        <v>0.15</v>
      </c>
      <c r="AF34">
        <f t="shared" si="18"/>
        <v>15.3295</v>
      </c>
      <c r="AG34">
        <f t="shared" si="19"/>
        <v>0</v>
      </c>
      <c r="AH34">
        <f t="shared" si="20"/>
        <v>1.47</v>
      </c>
      <c r="AI34">
        <f t="shared" si="21"/>
        <v>0.01</v>
      </c>
      <c r="AJ34">
        <f t="shared" si="22"/>
        <v>0</v>
      </c>
      <c r="AK34">
        <v>59.72</v>
      </c>
      <c r="AL34" s="65">
        <f>44.75*($AL$23)</f>
        <v>62.65</v>
      </c>
      <c r="AM34">
        <v>1.64</v>
      </c>
      <c r="AN34">
        <v>0.12</v>
      </c>
      <c r="AO34">
        <v>13.33</v>
      </c>
      <c r="AP34">
        <v>0</v>
      </c>
      <c r="AQ34">
        <v>1.47</v>
      </c>
      <c r="AR34">
        <v>0.01</v>
      </c>
      <c r="AS34">
        <v>0</v>
      </c>
      <c r="AT34">
        <v>128</v>
      </c>
      <c r="AU34">
        <v>83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53</v>
      </c>
      <c r="BM34">
        <v>25</v>
      </c>
      <c r="BN34">
        <v>0</v>
      </c>
      <c r="BO34" t="s">
        <v>50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CF34">
        <v>0</v>
      </c>
      <c r="CG34">
        <v>0</v>
      </c>
      <c r="CM34">
        <v>0</v>
      </c>
      <c r="CO34">
        <v>0</v>
      </c>
      <c r="CP34">
        <f t="shared" si="23"/>
        <v>400.15</v>
      </c>
      <c r="CQ34">
        <f t="shared" si="24"/>
        <v>62.65</v>
      </c>
      <c r="CR34">
        <f t="shared" si="25"/>
        <v>2.05</v>
      </c>
      <c r="CS34">
        <f t="shared" si="26"/>
        <v>0.15</v>
      </c>
      <c r="CT34">
        <f t="shared" si="27"/>
        <v>15.3295</v>
      </c>
      <c r="CU34">
        <f t="shared" si="28"/>
        <v>0</v>
      </c>
      <c r="CV34">
        <f t="shared" si="29"/>
        <v>1.47</v>
      </c>
      <c r="CW34">
        <f t="shared" si="30"/>
        <v>0.01</v>
      </c>
      <c r="CX34">
        <f t="shared" si="31"/>
        <v>0</v>
      </c>
      <c r="CY34">
        <f t="shared" si="32"/>
        <v>99.072</v>
      </c>
      <c r="CZ34">
        <f t="shared" si="33"/>
        <v>64.242</v>
      </c>
      <c r="DE34" t="s">
        <v>22</v>
      </c>
      <c r="DF34" t="s">
        <v>22</v>
      </c>
      <c r="DG34" t="s">
        <v>23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52</v>
      </c>
      <c r="DW34" t="s">
        <v>52</v>
      </c>
      <c r="DX34">
        <v>1</v>
      </c>
      <c r="EE34">
        <v>6294917</v>
      </c>
      <c r="EF34">
        <v>2</v>
      </c>
      <c r="EG34" t="s">
        <v>25</v>
      </c>
      <c r="EH34">
        <v>0</v>
      </c>
      <c r="EJ34">
        <v>1</v>
      </c>
      <c r="EK34">
        <v>25</v>
      </c>
      <c r="EL34" t="s">
        <v>26</v>
      </c>
      <c r="EM34" t="s">
        <v>27</v>
      </c>
      <c r="ET34">
        <v>11494.05</v>
      </c>
    </row>
    <row r="35" spans="1:150" s="63" customFormat="1" ht="12.75">
      <c r="A35" s="63">
        <v>18</v>
      </c>
      <c r="B35" s="63">
        <v>1</v>
      </c>
      <c r="D35" s="63" t="s">
        <v>55</v>
      </c>
      <c r="E35" s="63" t="s">
        <v>54</v>
      </c>
      <c r="G35" s="63" t="s">
        <v>56</v>
      </c>
      <c r="H35" s="63" t="s">
        <v>57</v>
      </c>
      <c r="I35" s="63">
        <f>I34*J35</f>
        <v>2</v>
      </c>
      <c r="J35" s="63">
        <v>0.4</v>
      </c>
      <c r="O35" s="63">
        <f t="shared" si="3"/>
        <v>47.6</v>
      </c>
      <c r="P35" s="63">
        <f t="shared" si="4"/>
        <v>47.6</v>
      </c>
      <c r="Q35" s="63">
        <f t="shared" si="5"/>
        <v>0</v>
      </c>
      <c r="R35" s="63">
        <f t="shared" si="6"/>
        <v>0</v>
      </c>
      <c r="S35" s="63">
        <f t="shared" si="7"/>
        <v>0</v>
      </c>
      <c r="T35" s="63">
        <f t="shared" si="8"/>
        <v>0</v>
      </c>
      <c r="U35" s="63">
        <f t="shared" si="9"/>
        <v>0</v>
      </c>
      <c r="V35" s="63">
        <f t="shared" si="10"/>
        <v>0</v>
      </c>
      <c r="W35" s="63">
        <f t="shared" si="11"/>
        <v>0</v>
      </c>
      <c r="X35" s="63">
        <f t="shared" si="12"/>
        <v>0</v>
      </c>
      <c r="Y35" s="63">
        <f t="shared" si="13"/>
        <v>0</v>
      </c>
      <c r="AA35" s="63">
        <v>0</v>
      </c>
      <c r="AB35" s="63">
        <f t="shared" si="14"/>
        <v>23.799999999999997</v>
      </c>
      <c r="AC35" s="63">
        <f t="shared" si="15"/>
        <v>23.799999999999997</v>
      </c>
      <c r="AD35" s="63">
        <f t="shared" si="16"/>
        <v>0</v>
      </c>
      <c r="AE35" s="63">
        <f t="shared" si="17"/>
        <v>0</v>
      </c>
      <c r="AF35" s="63">
        <f t="shared" si="18"/>
        <v>0</v>
      </c>
      <c r="AG35" s="63">
        <f t="shared" si="19"/>
        <v>0</v>
      </c>
      <c r="AH35" s="63">
        <f t="shared" si="20"/>
        <v>0</v>
      </c>
      <c r="AI35" s="63">
        <f t="shared" si="21"/>
        <v>0</v>
      </c>
      <c r="AJ35" s="63">
        <f t="shared" si="22"/>
        <v>0</v>
      </c>
      <c r="AK35" s="63">
        <v>17</v>
      </c>
      <c r="AL35" s="65">
        <f>17*($AL$23)</f>
        <v>23.799999999999997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128</v>
      </c>
      <c r="AU35" s="63">
        <v>83</v>
      </c>
      <c r="AV35" s="63">
        <v>1</v>
      </c>
      <c r="AW35" s="63">
        <v>1</v>
      </c>
      <c r="AX35" s="63">
        <v>1</v>
      </c>
      <c r="AY35" s="63">
        <v>1</v>
      </c>
      <c r="AZ35" s="63">
        <v>1</v>
      </c>
      <c r="BA35" s="63">
        <v>1</v>
      </c>
      <c r="BB35" s="63">
        <v>1</v>
      </c>
      <c r="BC35" s="63">
        <v>1</v>
      </c>
      <c r="BD35" s="63" t="s">
        <v>5</v>
      </c>
      <c r="BE35" s="63" t="s">
        <v>5</v>
      </c>
      <c r="BF35" s="63" t="s">
        <v>5</v>
      </c>
      <c r="BG35" s="63" t="s">
        <v>5</v>
      </c>
      <c r="BH35" s="63">
        <v>3</v>
      </c>
      <c r="BI35" s="63">
        <v>1</v>
      </c>
      <c r="BJ35" s="63" t="s">
        <v>5</v>
      </c>
      <c r="BM35" s="63">
        <v>25</v>
      </c>
      <c r="BN35" s="63">
        <v>0</v>
      </c>
      <c r="BO35" s="63" t="s">
        <v>5</v>
      </c>
      <c r="BP35" s="63">
        <v>0</v>
      </c>
      <c r="BQ35" s="63">
        <v>2</v>
      </c>
      <c r="BR35" s="63">
        <v>0</v>
      </c>
      <c r="BS35" s="63">
        <v>1</v>
      </c>
      <c r="BT35" s="63">
        <v>1</v>
      </c>
      <c r="BU35" s="63">
        <v>1</v>
      </c>
      <c r="BV35" s="63">
        <v>1</v>
      </c>
      <c r="BW35" s="63">
        <v>1</v>
      </c>
      <c r="BX35" s="63">
        <v>1</v>
      </c>
      <c r="BY35" s="63" t="s">
        <v>5</v>
      </c>
      <c r="CF35" s="63">
        <v>0</v>
      </c>
      <c r="CG35" s="63">
        <v>0</v>
      </c>
      <c r="CM35" s="63">
        <v>0</v>
      </c>
      <c r="CN35" s="63" t="s">
        <v>5</v>
      </c>
      <c r="CO35" s="63">
        <v>0</v>
      </c>
      <c r="CP35" s="63">
        <f t="shared" si="23"/>
        <v>47.6</v>
      </c>
      <c r="CQ35" s="63">
        <f t="shared" si="24"/>
        <v>23.799999999999997</v>
      </c>
      <c r="CR35" s="63">
        <f t="shared" si="25"/>
        <v>0</v>
      </c>
      <c r="CS35" s="63">
        <f t="shared" si="26"/>
        <v>0</v>
      </c>
      <c r="CT35" s="63">
        <f t="shared" si="27"/>
        <v>0</v>
      </c>
      <c r="CU35" s="63">
        <f t="shared" si="28"/>
        <v>0</v>
      </c>
      <c r="CV35" s="63">
        <f t="shared" si="29"/>
        <v>0</v>
      </c>
      <c r="CW35" s="63">
        <f t="shared" si="30"/>
        <v>0</v>
      </c>
      <c r="CX35" s="63">
        <f t="shared" si="31"/>
        <v>0</v>
      </c>
      <c r="CY35" s="63">
        <f t="shared" si="32"/>
        <v>0</v>
      </c>
      <c r="CZ35" s="63">
        <f t="shared" si="33"/>
        <v>0</v>
      </c>
      <c r="DC35" s="63" t="s">
        <v>5</v>
      </c>
      <c r="DD35" s="63" t="s">
        <v>5</v>
      </c>
      <c r="DE35" s="63" t="s">
        <v>22</v>
      </c>
      <c r="DF35" s="63" t="s">
        <v>22</v>
      </c>
      <c r="DG35" s="63" t="s">
        <v>23</v>
      </c>
      <c r="DH35" s="63" t="s">
        <v>5</v>
      </c>
      <c r="DI35" s="63" t="s">
        <v>5</v>
      </c>
      <c r="DJ35" s="63" t="s">
        <v>5</v>
      </c>
      <c r="DK35" s="63" t="s">
        <v>5</v>
      </c>
      <c r="DN35" s="63">
        <v>0</v>
      </c>
      <c r="DO35" s="63">
        <v>0</v>
      </c>
      <c r="DP35" s="63">
        <v>1</v>
      </c>
      <c r="DQ35" s="63">
        <v>1</v>
      </c>
      <c r="DR35" s="63">
        <v>1</v>
      </c>
      <c r="DS35" s="63">
        <v>1</v>
      </c>
      <c r="DT35" s="63">
        <v>1</v>
      </c>
      <c r="DU35" s="63">
        <v>1013</v>
      </c>
      <c r="DV35" s="63" t="s">
        <v>57</v>
      </c>
      <c r="DW35" s="63" t="s">
        <v>57</v>
      </c>
      <c r="DX35" s="63">
        <v>1</v>
      </c>
      <c r="EE35" s="63">
        <v>6294917</v>
      </c>
      <c r="EF35" s="63">
        <v>2</v>
      </c>
      <c r="EG35" s="63" t="s">
        <v>25</v>
      </c>
      <c r="EH35" s="63">
        <v>0</v>
      </c>
      <c r="EI35" s="63" t="s">
        <v>5</v>
      </c>
      <c r="EJ35" s="63">
        <v>1</v>
      </c>
      <c r="EK35" s="63">
        <v>25</v>
      </c>
      <c r="EL35" s="63" t="s">
        <v>26</v>
      </c>
      <c r="EM35" s="63" t="s">
        <v>27</v>
      </c>
      <c r="EN35" s="63" t="s">
        <v>5</v>
      </c>
      <c r="ET35" s="63">
        <v>1258</v>
      </c>
    </row>
    <row r="36" spans="1:150" s="63" customFormat="1" ht="12.75">
      <c r="A36" s="63">
        <v>18</v>
      </c>
      <c r="B36" s="63">
        <v>1</v>
      </c>
      <c r="D36" s="63" t="s">
        <v>59</v>
      </c>
      <c r="E36" s="63" t="s">
        <v>58</v>
      </c>
      <c r="G36" s="63" t="s">
        <v>60</v>
      </c>
      <c r="H36" s="63" t="s">
        <v>57</v>
      </c>
      <c r="I36" s="63">
        <f>I34*J36</f>
        <v>3</v>
      </c>
      <c r="J36" s="63">
        <v>0.6</v>
      </c>
      <c r="O36" s="63">
        <f t="shared" si="3"/>
        <v>226.17</v>
      </c>
      <c r="P36" s="63">
        <f t="shared" si="4"/>
        <v>226.17</v>
      </c>
      <c r="Q36" s="63">
        <f t="shared" si="5"/>
        <v>0</v>
      </c>
      <c r="R36" s="63">
        <f t="shared" si="6"/>
        <v>0</v>
      </c>
      <c r="S36" s="63">
        <f t="shared" si="7"/>
        <v>0</v>
      </c>
      <c r="T36" s="63">
        <f t="shared" si="8"/>
        <v>0</v>
      </c>
      <c r="U36" s="63">
        <f t="shared" si="9"/>
        <v>0</v>
      </c>
      <c r="V36" s="63">
        <f t="shared" si="10"/>
        <v>0</v>
      </c>
      <c r="W36" s="63">
        <f t="shared" si="11"/>
        <v>0</v>
      </c>
      <c r="X36" s="63">
        <f t="shared" si="12"/>
        <v>0</v>
      </c>
      <c r="Y36" s="63">
        <f t="shared" si="13"/>
        <v>0</v>
      </c>
      <c r="AA36" s="63">
        <v>0</v>
      </c>
      <c r="AB36" s="63">
        <f t="shared" si="14"/>
        <v>75.39</v>
      </c>
      <c r="AC36" s="63">
        <f t="shared" si="15"/>
        <v>75.39</v>
      </c>
      <c r="AD36" s="63">
        <f t="shared" si="16"/>
        <v>0</v>
      </c>
      <c r="AE36" s="63">
        <f t="shared" si="17"/>
        <v>0</v>
      </c>
      <c r="AF36" s="63">
        <f t="shared" si="18"/>
        <v>0</v>
      </c>
      <c r="AG36" s="63">
        <f t="shared" si="19"/>
        <v>0</v>
      </c>
      <c r="AH36" s="63">
        <f t="shared" si="20"/>
        <v>0</v>
      </c>
      <c r="AI36" s="63">
        <f t="shared" si="21"/>
        <v>0</v>
      </c>
      <c r="AJ36" s="63">
        <f t="shared" si="22"/>
        <v>0</v>
      </c>
      <c r="AK36" s="63">
        <v>53.85</v>
      </c>
      <c r="AL36" s="65">
        <f>53.85*($AL$23)</f>
        <v>75.39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128</v>
      </c>
      <c r="AU36" s="63">
        <v>83</v>
      </c>
      <c r="AV36" s="63">
        <v>1</v>
      </c>
      <c r="AW36" s="63">
        <v>1</v>
      </c>
      <c r="AX36" s="63">
        <v>1</v>
      </c>
      <c r="AY36" s="63">
        <v>1</v>
      </c>
      <c r="AZ36" s="63">
        <v>1</v>
      </c>
      <c r="BA36" s="63">
        <v>1</v>
      </c>
      <c r="BB36" s="63">
        <v>1</v>
      </c>
      <c r="BC36" s="63">
        <v>1</v>
      </c>
      <c r="BD36" s="63" t="s">
        <v>5</v>
      </c>
      <c r="BE36" s="63" t="s">
        <v>5</v>
      </c>
      <c r="BF36" s="63" t="s">
        <v>5</v>
      </c>
      <c r="BG36" s="63" t="s">
        <v>5</v>
      </c>
      <c r="BH36" s="63">
        <v>3</v>
      </c>
      <c r="BI36" s="63">
        <v>1</v>
      </c>
      <c r="BJ36" s="63" t="s">
        <v>5</v>
      </c>
      <c r="BM36" s="63">
        <v>25</v>
      </c>
      <c r="BN36" s="63">
        <v>0</v>
      </c>
      <c r="BO36" s="63" t="s">
        <v>5</v>
      </c>
      <c r="BP36" s="63">
        <v>0</v>
      </c>
      <c r="BQ36" s="63">
        <v>2</v>
      </c>
      <c r="BR36" s="63">
        <v>0</v>
      </c>
      <c r="BS36" s="63">
        <v>1</v>
      </c>
      <c r="BT36" s="63">
        <v>1</v>
      </c>
      <c r="BU36" s="63">
        <v>1</v>
      </c>
      <c r="BV36" s="63">
        <v>1</v>
      </c>
      <c r="BW36" s="63">
        <v>1</v>
      </c>
      <c r="BX36" s="63">
        <v>1</v>
      </c>
      <c r="BY36" s="63" t="s">
        <v>5</v>
      </c>
      <c r="CF36" s="63">
        <v>0</v>
      </c>
      <c r="CG36" s="63">
        <v>0</v>
      </c>
      <c r="CM36" s="63">
        <v>0</v>
      </c>
      <c r="CN36" s="63" t="s">
        <v>5</v>
      </c>
      <c r="CO36" s="63">
        <v>0</v>
      </c>
      <c r="CP36" s="63">
        <f t="shared" si="23"/>
        <v>226.17</v>
      </c>
      <c r="CQ36" s="63">
        <f t="shared" si="24"/>
        <v>75.39</v>
      </c>
      <c r="CR36" s="63">
        <f t="shared" si="25"/>
        <v>0</v>
      </c>
      <c r="CS36" s="63">
        <f t="shared" si="26"/>
        <v>0</v>
      </c>
      <c r="CT36" s="63">
        <f t="shared" si="27"/>
        <v>0</v>
      </c>
      <c r="CU36" s="63">
        <f t="shared" si="28"/>
        <v>0</v>
      </c>
      <c r="CV36" s="63">
        <f t="shared" si="29"/>
        <v>0</v>
      </c>
      <c r="CW36" s="63">
        <f t="shared" si="30"/>
        <v>0</v>
      </c>
      <c r="CX36" s="63">
        <f t="shared" si="31"/>
        <v>0</v>
      </c>
      <c r="CY36" s="63">
        <f t="shared" si="32"/>
        <v>0</v>
      </c>
      <c r="CZ36" s="63">
        <f t="shared" si="33"/>
        <v>0</v>
      </c>
      <c r="DC36" s="63" t="s">
        <v>5</v>
      </c>
      <c r="DD36" s="63" t="s">
        <v>5</v>
      </c>
      <c r="DE36" s="63" t="s">
        <v>22</v>
      </c>
      <c r="DF36" s="63" t="s">
        <v>22</v>
      </c>
      <c r="DG36" s="63" t="s">
        <v>23</v>
      </c>
      <c r="DH36" s="63" t="s">
        <v>5</v>
      </c>
      <c r="DI36" s="63" t="s">
        <v>5</v>
      </c>
      <c r="DJ36" s="63" t="s">
        <v>5</v>
      </c>
      <c r="DK36" s="63" t="s">
        <v>5</v>
      </c>
      <c r="DN36" s="63">
        <v>0</v>
      </c>
      <c r="DO36" s="63">
        <v>0</v>
      </c>
      <c r="DP36" s="63">
        <v>1</v>
      </c>
      <c r="DQ36" s="63">
        <v>1</v>
      </c>
      <c r="DR36" s="63">
        <v>1</v>
      </c>
      <c r="DS36" s="63">
        <v>1</v>
      </c>
      <c r="DT36" s="63">
        <v>1</v>
      </c>
      <c r="DU36" s="63">
        <v>1013</v>
      </c>
      <c r="DV36" s="63" t="s">
        <v>57</v>
      </c>
      <c r="DW36" s="63" t="s">
        <v>57</v>
      </c>
      <c r="DX36" s="63">
        <v>1</v>
      </c>
      <c r="EE36" s="63">
        <v>6294917</v>
      </c>
      <c r="EF36" s="63">
        <v>2</v>
      </c>
      <c r="EG36" s="63" t="s">
        <v>25</v>
      </c>
      <c r="EH36" s="63">
        <v>0</v>
      </c>
      <c r="EI36" s="63" t="s">
        <v>5</v>
      </c>
      <c r="EJ36" s="63">
        <v>1</v>
      </c>
      <c r="EK36" s="63">
        <v>25</v>
      </c>
      <c r="EL36" s="63" t="s">
        <v>26</v>
      </c>
      <c r="EM36" s="63" t="s">
        <v>27</v>
      </c>
      <c r="EN36" s="63" t="s">
        <v>5</v>
      </c>
      <c r="ET36" s="63">
        <v>5977.35</v>
      </c>
    </row>
    <row r="37" spans="1:150" s="63" customFormat="1" ht="12.75">
      <c r="A37" s="63">
        <v>18</v>
      </c>
      <c r="B37" s="63">
        <v>1</v>
      </c>
      <c r="D37" s="63" t="s">
        <v>62</v>
      </c>
      <c r="E37" s="63" t="s">
        <v>61</v>
      </c>
      <c r="G37" s="63" t="s">
        <v>63</v>
      </c>
      <c r="H37" s="63" t="s">
        <v>57</v>
      </c>
      <c r="I37" s="63">
        <f>I34*J37</f>
        <v>48</v>
      </c>
      <c r="J37" s="63">
        <v>9.6</v>
      </c>
      <c r="O37" s="63">
        <f t="shared" si="3"/>
        <v>952.22</v>
      </c>
      <c r="P37" s="63">
        <f t="shared" si="4"/>
        <v>952.22</v>
      </c>
      <c r="Q37" s="63">
        <f t="shared" si="5"/>
        <v>0</v>
      </c>
      <c r="R37" s="63">
        <f t="shared" si="6"/>
        <v>0</v>
      </c>
      <c r="S37" s="63">
        <f t="shared" si="7"/>
        <v>0</v>
      </c>
      <c r="T37" s="63">
        <f t="shared" si="8"/>
        <v>0</v>
      </c>
      <c r="U37" s="63">
        <f t="shared" si="9"/>
        <v>0</v>
      </c>
      <c r="V37" s="63">
        <f t="shared" si="10"/>
        <v>0</v>
      </c>
      <c r="W37" s="63">
        <f t="shared" si="11"/>
        <v>0</v>
      </c>
      <c r="X37" s="63">
        <f t="shared" si="12"/>
        <v>0</v>
      </c>
      <c r="Y37" s="63">
        <f t="shared" si="13"/>
        <v>0</v>
      </c>
      <c r="AA37" s="63">
        <v>0</v>
      </c>
      <c r="AB37" s="63">
        <f t="shared" si="14"/>
        <v>19.837999999999997</v>
      </c>
      <c r="AC37" s="63">
        <f t="shared" si="15"/>
        <v>19.837999999999997</v>
      </c>
      <c r="AD37" s="63">
        <f t="shared" si="16"/>
        <v>0</v>
      </c>
      <c r="AE37" s="63">
        <f t="shared" si="17"/>
        <v>0</v>
      </c>
      <c r="AF37" s="63">
        <f t="shared" si="18"/>
        <v>0</v>
      </c>
      <c r="AG37" s="63">
        <f t="shared" si="19"/>
        <v>0</v>
      </c>
      <c r="AH37" s="63">
        <f t="shared" si="20"/>
        <v>0</v>
      </c>
      <c r="AI37" s="63">
        <f t="shared" si="21"/>
        <v>0</v>
      </c>
      <c r="AJ37" s="63">
        <f t="shared" si="22"/>
        <v>0</v>
      </c>
      <c r="AK37" s="63">
        <v>14.17</v>
      </c>
      <c r="AL37" s="65">
        <f>14.17*($AL$23)</f>
        <v>19.837999999999997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128</v>
      </c>
      <c r="AU37" s="63">
        <v>83</v>
      </c>
      <c r="AV37" s="63">
        <v>1</v>
      </c>
      <c r="AW37" s="63">
        <v>1</v>
      </c>
      <c r="AX37" s="63">
        <v>1</v>
      </c>
      <c r="AY37" s="63">
        <v>1</v>
      </c>
      <c r="AZ37" s="63">
        <v>1</v>
      </c>
      <c r="BA37" s="63">
        <v>1</v>
      </c>
      <c r="BB37" s="63">
        <v>1</v>
      </c>
      <c r="BC37" s="63">
        <v>1</v>
      </c>
      <c r="BD37" s="63" t="s">
        <v>5</v>
      </c>
      <c r="BE37" s="63" t="s">
        <v>5</v>
      </c>
      <c r="BF37" s="63" t="s">
        <v>5</v>
      </c>
      <c r="BG37" s="63" t="s">
        <v>5</v>
      </c>
      <c r="BH37" s="63">
        <v>3</v>
      </c>
      <c r="BI37" s="63">
        <v>1</v>
      </c>
      <c r="BJ37" s="63" t="s">
        <v>5</v>
      </c>
      <c r="BM37" s="63">
        <v>25</v>
      </c>
      <c r="BN37" s="63">
        <v>0</v>
      </c>
      <c r="BO37" s="63" t="s">
        <v>5</v>
      </c>
      <c r="BP37" s="63">
        <v>0</v>
      </c>
      <c r="BQ37" s="63">
        <v>2</v>
      </c>
      <c r="BR37" s="63">
        <v>0</v>
      </c>
      <c r="BS37" s="63">
        <v>1</v>
      </c>
      <c r="BT37" s="63">
        <v>1</v>
      </c>
      <c r="BU37" s="63">
        <v>1</v>
      </c>
      <c r="BV37" s="63">
        <v>1</v>
      </c>
      <c r="BW37" s="63">
        <v>1</v>
      </c>
      <c r="BX37" s="63">
        <v>1</v>
      </c>
      <c r="BY37" s="63" t="s">
        <v>5</v>
      </c>
      <c r="CF37" s="63">
        <v>0</v>
      </c>
      <c r="CG37" s="63">
        <v>0</v>
      </c>
      <c r="CM37" s="63">
        <v>0</v>
      </c>
      <c r="CN37" s="63" t="s">
        <v>5</v>
      </c>
      <c r="CO37" s="63">
        <v>0</v>
      </c>
      <c r="CP37" s="63">
        <f t="shared" si="23"/>
        <v>952.22</v>
      </c>
      <c r="CQ37" s="63">
        <f t="shared" si="24"/>
        <v>19.837999999999997</v>
      </c>
      <c r="CR37" s="63">
        <f t="shared" si="25"/>
        <v>0</v>
      </c>
      <c r="CS37" s="63">
        <f t="shared" si="26"/>
        <v>0</v>
      </c>
      <c r="CT37" s="63">
        <f t="shared" si="27"/>
        <v>0</v>
      </c>
      <c r="CU37" s="63">
        <f t="shared" si="28"/>
        <v>0</v>
      </c>
      <c r="CV37" s="63">
        <f t="shared" si="29"/>
        <v>0</v>
      </c>
      <c r="CW37" s="63">
        <f t="shared" si="30"/>
        <v>0</v>
      </c>
      <c r="CX37" s="63">
        <f t="shared" si="31"/>
        <v>0</v>
      </c>
      <c r="CY37" s="63">
        <f t="shared" si="32"/>
        <v>0</v>
      </c>
      <c r="CZ37" s="63">
        <f t="shared" si="33"/>
        <v>0</v>
      </c>
      <c r="DC37" s="63" t="s">
        <v>5</v>
      </c>
      <c r="DD37" s="63" t="s">
        <v>5</v>
      </c>
      <c r="DE37" s="63" t="s">
        <v>22</v>
      </c>
      <c r="DF37" s="63" t="s">
        <v>22</v>
      </c>
      <c r="DG37" s="63" t="s">
        <v>23</v>
      </c>
      <c r="DH37" s="63" t="s">
        <v>5</v>
      </c>
      <c r="DI37" s="63" t="s">
        <v>5</v>
      </c>
      <c r="DJ37" s="63" t="s">
        <v>5</v>
      </c>
      <c r="DK37" s="63" t="s">
        <v>5</v>
      </c>
      <c r="DN37" s="63">
        <v>0</v>
      </c>
      <c r="DO37" s="63">
        <v>0</v>
      </c>
      <c r="DP37" s="63">
        <v>1</v>
      </c>
      <c r="DQ37" s="63">
        <v>1</v>
      </c>
      <c r="DR37" s="63">
        <v>1</v>
      </c>
      <c r="DS37" s="63">
        <v>1</v>
      </c>
      <c r="DT37" s="63">
        <v>1</v>
      </c>
      <c r="DU37" s="63">
        <v>1013</v>
      </c>
      <c r="DV37" s="63" t="s">
        <v>57</v>
      </c>
      <c r="DW37" s="63" t="s">
        <v>57</v>
      </c>
      <c r="DX37" s="63">
        <v>1</v>
      </c>
      <c r="EE37" s="63">
        <v>6294917</v>
      </c>
      <c r="EF37" s="63">
        <v>2</v>
      </c>
      <c r="EG37" s="63" t="s">
        <v>25</v>
      </c>
      <c r="EH37" s="63">
        <v>0</v>
      </c>
      <c r="EI37" s="63" t="s">
        <v>5</v>
      </c>
      <c r="EJ37" s="63">
        <v>1</v>
      </c>
      <c r="EK37" s="63">
        <v>25</v>
      </c>
      <c r="EL37" s="63" t="s">
        <v>26</v>
      </c>
      <c r="EM37" s="63" t="s">
        <v>27</v>
      </c>
      <c r="EN37" s="63" t="s">
        <v>5</v>
      </c>
      <c r="ET37" s="63">
        <v>25165.92</v>
      </c>
    </row>
    <row r="38" spans="1:150" ht="12.75">
      <c r="A38">
        <v>17</v>
      </c>
      <c r="B38">
        <v>1</v>
      </c>
      <c r="C38">
        <f>ROW(SmtRes!A113)</f>
        <v>113</v>
      </c>
      <c r="D38" t="s">
        <v>65</v>
      </c>
      <c r="E38" t="s">
        <v>64</v>
      </c>
      <c r="F38" t="s">
        <v>65</v>
      </c>
      <c r="G38" t="s">
        <v>66</v>
      </c>
      <c r="H38" t="s">
        <v>20</v>
      </c>
      <c r="I38">
        <v>0.004</v>
      </c>
      <c r="J38">
        <v>0</v>
      </c>
      <c r="O38">
        <f t="shared" si="3"/>
        <v>35.36</v>
      </c>
      <c r="P38">
        <f t="shared" si="4"/>
        <v>33.21</v>
      </c>
      <c r="Q38">
        <f t="shared" si="5"/>
        <v>0.42</v>
      </c>
      <c r="R38">
        <f t="shared" si="6"/>
        <v>0.06</v>
      </c>
      <c r="S38">
        <f t="shared" si="7"/>
        <v>1.73</v>
      </c>
      <c r="T38">
        <f t="shared" si="8"/>
        <v>0</v>
      </c>
      <c r="U38">
        <f t="shared" si="9"/>
        <v>0.16</v>
      </c>
      <c r="V38">
        <f t="shared" si="10"/>
        <v>0</v>
      </c>
      <c r="W38">
        <f t="shared" si="11"/>
        <v>0</v>
      </c>
      <c r="X38">
        <f t="shared" si="12"/>
        <v>2.29</v>
      </c>
      <c r="Y38">
        <f t="shared" si="13"/>
        <v>1.49</v>
      </c>
      <c r="AA38">
        <v>0</v>
      </c>
      <c r="AB38" s="62">
        <f t="shared" si="14"/>
        <v>8841.01</v>
      </c>
      <c r="AC38">
        <f t="shared" si="15"/>
        <v>8302.518</v>
      </c>
      <c r="AD38">
        <f t="shared" si="16"/>
        <v>105.71249999999999</v>
      </c>
      <c r="AE38">
        <f t="shared" si="17"/>
        <v>15.649999999999999</v>
      </c>
      <c r="AF38">
        <f t="shared" si="18"/>
        <v>432.7794999999999</v>
      </c>
      <c r="AG38">
        <f t="shared" si="19"/>
        <v>0</v>
      </c>
      <c r="AH38">
        <f t="shared" si="20"/>
        <v>39.16</v>
      </c>
      <c r="AI38">
        <f t="shared" si="21"/>
        <v>1.06</v>
      </c>
      <c r="AJ38">
        <f t="shared" si="22"/>
        <v>0</v>
      </c>
      <c r="AK38">
        <v>6391.27</v>
      </c>
      <c r="AL38" s="65">
        <f>5930.37*($AL$23)</f>
        <v>8302.518</v>
      </c>
      <c r="AM38">
        <v>84.57</v>
      </c>
      <c r="AN38">
        <v>12.52</v>
      </c>
      <c r="AO38">
        <v>376.33</v>
      </c>
      <c r="AP38">
        <v>0</v>
      </c>
      <c r="AQ38">
        <v>39.16</v>
      </c>
      <c r="AR38">
        <v>1.06</v>
      </c>
      <c r="AS38">
        <v>0</v>
      </c>
      <c r="AT38">
        <v>128</v>
      </c>
      <c r="AU38">
        <v>83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67</v>
      </c>
      <c r="BM38">
        <v>25</v>
      </c>
      <c r="BN38">
        <v>0</v>
      </c>
      <c r="BO38" t="s">
        <v>65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CF38">
        <v>0</v>
      </c>
      <c r="CG38">
        <v>0</v>
      </c>
      <c r="CM38">
        <v>0</v>
      </c>
      <c r="CO38">
        <v>0</v>
      </c>
      <c r="CP38">
        <f t="shared" si="23"/>
        <v>35.36</v>
      </c>
      <c r="CQ38">
        <f t="shared" si="24"/>
        <v>8302.518</v>
      </c>
      <c r="CR38">
        <f t="shared" si="25"/>
        <v>105.71249999999999</v>
      </c>
      <c r="CS38">
        <f t="shared" si="26"/>
        <v>15.649999999999999</v>
      </c>
      <c r="CT38">
        <f t="shared" si="27"/>
        <v>432.7794999999999</v>
      </c>
      <c r="CU38">
        <f t="shared" si="28"/>
        <v>0</v>
      </c>
      <c r="CV38">
        <f t="shared" si="29"/>
        <v>39.16</v>
      </c>
      <c r="CW38">
        <f t="shared" si="30"/>
        <v>1.06</v>
      </c>
      <c r="CX38">
        <f t="shared" si="31"/>
        <v>0</v>
      </c>
      <c r="CY38">
        <f t="shared" si="32"/>
        <v>2.2912</v>
      </c>
      <c r="CZ38">
        <f t="shared" si="33"/>
        <v>1.4857</v>
      </c>
      <c r="DE38" t="s">
        <v>22</v>
      </c>
      <c r="DF38" t="s">
        <v>22</v>
      </c>
      <c r="DG38" t="s">
        <v>23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20</v>
      </c>
      <c r="DW38" t="s">
        <v>24</v>
      </c>
      <c r="DX38">
        <v>100</v>
      </c>
      <c r="EE38">
        <v>6294917</v>
      </c>
      <c r="EF38">
        <v>2</v>
      </c>
      <c r="EG38" t="s">
        <v>25</v>
      </c>
      <c r="EH38">
        <v>0</v>
      </c>
      <c r="EJ38">
        <v>1</v>
      </c>
      <c r="EK38">
        <v>25</v>
      </c>
      <c r="EL38" t="s">
        <v>26</v>
      </c>
      <c r="EM38" t="s">
        <v>27</v>
      </c>
      <c r="ET38">
        <v>957.19</v>
      </c>
    </row>
    <row r="39" spans="1:150" ht="12.75">
      <c r="A39">
        <v>17</v>
      </c>
      <c r="B39">
        <v>1</v>
      </c>
      <c r="C39">
        <f>ROW(SmtRes!A128)</f>
        <v>128</v>
      </c>
      <c r="D39" t="s">
        <v>69</v>
      </c>
      <c r="E39" t="s">
        <v>68</v>
      </c>
      <c r="F39" t="s">
        <v>69</v>
      </c>
      <c r="G39" t="s">
        <v>70</v>
      </c>
      <c r="H39" t="s">
        <v>20</v>
      </c>
      <c r="I39">
        <v>0.004</v>
      </c>
      <c r="J39">
        <v>0</v>
      </c>
      <c r="O39">
        <f t="shared" si="3"/>
        <v>89.65</v>
      </c>
      <c r="P39">
        <f t="shared" si="4"/>
        <v>85.59</v>
      </c>
      <c r="Q39">
        <f t="shared" si="5"/>
        <v>0.83</v>
      </c>
      <c r="R39">
        <f t="shared" si="6"/>
        <v>0.13</v>
      </c>
      <c r="S39">
        <f t="shared" si="7"/>
        <v>3.23</v>
      </c>
      <c r="T39">
        <f t="shared" si="8"/>
        <v>0</v>
      </c>
      <c r="U39">
        <f t="shared" si="9"/>
        <v>0.31</v>
      </c>
      <c r="V39">
        <f t="shared" si="10"/>
        <v>0.01</v>
      </c>
      <c r="W39">
        <f t="shared" si="11"/>
        <v>0</v>
      </c>
      <c r="X39">
        <f t="shared" si="12"/>
        <v>4.3</v>
      </c>
      <c r="Y39">
        <f t="shared" si="13"/>
        <v>2.79</v>
      </c>
      <c r="AA39">
        <v>0</v>
      </c>
      <c r="AB39" s="62">
        <f t="shared" si="14"/>
        <v>22414.565</v>
      </c>
      <c r="AC39">
        <f t="shared" si="15"/>
        <v>21398.748</v>
      </c>
      <c r="AD39">
        <f t="shared" si="16"/>
        <v>208.1375</v>
      </c>
      <c r="AE39">
        <f t="shared" si="17"/>
        <v>32.1875</v>
      </c>
      <c r="AF39">
        <f t="shared" si="18"/>
        <v>807.6795</v>
      </c>
      <c r="AG39">
        <f t="shared" si="19"/>
        <v>0</v>
      </c>
      <c r="AH39">
        <f t="shared" si="20"/>
        <v>76.59</v>
      </c>
      <c r="AI39">
        <f t="shared" si="21"/>
        <v>2.18</v>
      </c>
      <c r="AJ39">
        <f t="shared" si="22"/>
        <v>0</v>
      </c>
      <c r="AK39">
        <v>16153.66</v>
      </c>
      <c r="AL39" s="65">
        <f>15284.82*($AL$23)</f>
        <v>21398.748</v>
      </c>
      <c r="AM39">
        <v>166.51</v>
      </c>
      <c r="AN39">
        <v>25.75</v>
      </c>
      <c r="AO39">
        <v>702.33</v>
      </c>
      <c r="AP39">
        <v>0</v>
      </c>
      <c r="AQ39">
        <v>76.59</v>
      </c>
      <c r="AR39">
        <v>2.18</v>
      </c>
      <c r="AS39">
        <v>0</v>
      </c>
      <c r="AT39">
        <v>128</v>
      </c>
      <c r="AU39">
        <v>83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1</v>
      </c>
      <c r="BJ39" t="s">
        <v>71</v>
      </c>
      <c r="BM39">
        <v>25</v>
      </c>
      <c r="BN39">
        <v>0</v>
      </c>
      <c r="BO39" t="s">
        <v>69</v>
      </c>
      <c r="BP39">
        <v>1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F39">
        <v>0</v>
      </c>
      <c r="CG39">
        <v>0</v>
      </c>
      <c r="CM39">
        <v>0</v>
      </c>
      <c r="CO39">
        <v>0</v>
      </c>
      <c r="CP39">
        <f t="shared" si="23"/>
        <v>89.65</v>
      </c>
      <c r="CQ39">
        <f t="shared" si="24"/>
        <v>21398.748</v>
      </c>
      <c r="CR39">
        <f t="shared" si="25"/>
        <v>208.1375</v>
      </c>
      <c r="CS39">
        <f t="shared" si="26"/>
        <v>32.1875</v>
      </c>
      <c r="CT39">
        <f t="shared" si="27"/>
        <v>807.6795</v>
      </c>
      <c r="CU39">
        <f t="shared" si="28"/>
        <v>0</v>
      </c>
      <c r="CV39">
        <f t="shared" si="29"/>
        <v>76.59</v>
      </c>
      <c r="CW39">
        <f t="shared" si="30"/>
        <v>2.18</v>
      </c>
      <c r="CX39">
        <f t="shared" si="31"/>
        <v>0</v>
      </c>
      <c r="CY39">
        <f t="shared" si="32"/>
        <v>4.3008</v>
      </c>
      <c r="CZ39">
        <f t="shared" si="33"/>
        <v>2.7888</v>
      </c>
      <c r="DE39" t="s">
        <v>22</v>
      </c>
      <c r="DF39" t="s">
        <v>22</v>
      </c>
      <c r="DG39" t="s">
        <v>23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20</v>
      </c>
      <c r="DW39" t="s">
        <v>24</v>
      </c>
      <c r="DX39">
        <v>100</v>
      </c>
      <c r="EE39">
        <v>6294917</v>
      </c>
      <c r="EF39">
        <v>2</v>
      </c>
      <c r="EG39" t="s">
        <v>25</v>
      </c>
      <c r="EH39">
        <v>0</v>
      </c>
      <c r="EJ39">
        <v>1</v>
      </c>
      <c r="EK39">
        <v>25</v>
      </c>
      <c r="EL39" t="s">
        <v>26</v>
      </c>
      <c r="EM39" t="s">
        <v>27</v>
      </c>
      <c r="ET39">
        <v>2412.4</v>
      </c>
    </row>
    <row r="40" spans="1:150" ht="12.75">
      <c r="A40">
        <v>17</v>
      </c>
      <c r="B40">
        <v>1</v>
      </c>
      <c r="C40">
        <f>ROW(SmtRes!A132)</f>
        <v>132</v>
      </c>
      <c r="D40" t="s">
        <v>73</v>
      </c>
      <c r="E40" t="s">
        <v>72</v>
      </c>
      <c r="F40" t="s">
        <v>73</v>
      </c>
      <c r="G40" t="s">
        <v>74</v>
      </c>
      <c r="H40" t="s">
        <v>52</v>
      </c>
      <c r="I40">
        <v>2</v>
      </c>
      <c r="J40">
        <v>0</v>
      </c>
      <c r="O40">
        <f t="shared" si="3"/>
        <v>46.41</v>
      </c>
      <c r="P40">
        <f t="shared" si="4"/>
        <v>8.85</v>
      </c>
      <c r="Q40">
        <f t="shared" si="5"/>
        <v>0</v>
      </c>
      <c r="R40">
        <f t="shared" si="6"/>
        <v>0</v>
      </c>
      <c r="S40">
        <f t="shared" si="7"/>
        <v>37.56</v>
      </c>
      <c r="T40">
        <f t="shared" si="8"/>
        <v>0</v>
      </c>
      <c r="U40">
        <f t="shared" si="9"/>
        <v>3.6</v>
      </c>
      <c r="V40">
        <f t="shared" si="10"/>
        <v>0</v>
      </c>
      <c r="W40">
        <f t="shared" si="11"/>
        <v>0</v>
      </c>
      <c r="X40">
        <f t="shared" si="12"/>
        <v>48.08</v>
      </c>
      <c r="Y40">
        <f t="shared" si="13"/>
        <v>31.17</v>
      </c>
      <c r="AA40">
        <v>0</v>
      </c>
      <c r="AB40" s="62">
        <f t="shared" si="14"/>
        <v>23.203499999999995</v>
      </c>
      <c r="AC40">
        <f t="shared" si="15"/>
        <v>4.4239999999999995</v>
      </c>
      <c r="AD40">
        <f t="shared" si="16"/>
        <v>0</v>
      </c>
      <c r="AE40">
        <f t="shared" si="17"/>
        <v>0</v>
      </c>
      <c r="AF40">
        <f t="shared" si="18"/>
        <v>18.779499999999995</v>
      </c>
      <c r="AG40">
        <f t="shared" si="19"/>
        <v>0</v>
      </c>
      <c r="AH40">
        <f t="shared" si="20"/>
        <v>1.8</v>
      </c>
      <c r="AI40">
        <f t="shared" si="21"/>
        <v>0</v>
      </c>
      <c r="AJ40">
        <f t="shared" si="22"/>
        <v>0</v>
      </c>
      <c r="AK40">
        <v>19.49</v>
      </c>
      <c r="AL40" s="65">
        <f>3.16*($AL$23)</f>
        <v>4.4239999999999995</v>
      </c>
      <c r="AM40">
        <v>0</v>
      </c>
      <c r="AN40">
        <v>0</v>
      </c>
      <c r="AO40">
        <v>16.33</v>
      </c>
      <c r="AP40">
        <v>0</v>
      </c>
      <c r="AQ40">
        <v>1.8</v>
      </c>
      <c r="AR40">
        <v>0</v>
      </c>
      <c r="AS40">
        <v>0</v>
      </c>
      <c r="AT40">
        <v>128</v>
      </c>
      <c r="AU40">
        <v>83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75</v>
      </c>
      <c r="BM40">
        <v>25</v>
      </c>
      <c r="BN40">
        <v>0</v>
      </c>
      <c r="BO40" t="s">
        <v>73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CF40">
        <v>0</v>
      </c>
      <c r="CG40">
        <v>0</v>
      </c>
      <c r="CM40">
        <v>0</v>
      </c>
      <c r="CO40">
        <v>0</v>
      </c>
      <c r="CP40">
        <f t="shared" si="23"/>
        <v>46.410000000000004</v>
      </c>
      <c r="CQ40">
        <f t="shared" si="24"/>
        <v>4.4239999999999995</v>
      </c>
      <c r="CR40">
        <f t="shared" si="25"/>
        <v>0</v>
      </c>
      <c r="CS40">
        <f t="shared" si="26"/>
        <v>0</v>
      </c>
      <c r="CT40">
        <f t="shared" si="27"/>
        <v>18.779499999999995</v>
      </c>
      <c r="CU40">
        <f t="shared" si="28"/>
        <v>0</v>
      </c>
      <c r="CV40">
        <f t="shared" si="29"/>
        <v>1.8</v>
      </c>
      <c r="CW40">
        <f t="shared" si="30"/>
        <v>0</v>
      </c>
      <c r="CX40">
        <f t="shared" si="31"/>
        <v>0</v>
      </c>
      <c r="CY40">
        <f t="shared" si="32"/>
        <v>48.076800000000006</v>
      </c>
      <c r="CZ40">
        <f t="shared" si="33"/>
        <v>31.1748</v>
      </c>
      <c r="DE40" t="s">
        <v>22</v>
      </c>
      <c r="DF40" t="s">
        <v>22</v>
      </c>
      <c r="DG40" t="s">
        <v>23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52</v>
      </c>
      <c r="DW40" t="s">
        <v>76</v>
      </c>
      <c r="DX40">
        <v>1</v>
      </c>
      <c r="EE40">
        <v>6294917</v>
      </c>
      <c r="EF40">
        <v>2</v>
      </c>
      <c r="EG40" t="s">
        <v>25</v>
      </c>
      <c r="EH40">
        <v>0</v>
      </c>
      <c r="EJ40">
        <v>1</v>
      </c>
      <c r="EK40">
        <v>25</v>
      </c>
      <c r="EL40" t="s">
        <v>26</v>
      </c>
      <c r="EM40" t="s">
        <v>27</v>
      </c>
      <c r="ET40">
        <v>1623.56</v>
      </c>
    </row>
    <row r="41" spans="1:150" ht="12.75">
      <c r="A41">
        <v>17</v>
      </c>
      <c r="B41">
        <v>1</v>
      </c>
      <c r="C41">
        <f>ROW(SmtRes!A138)</f>
        <v>138</v>
      </c>
      <c r="D41" t="s">
        <v>78</v>
      </c>
      <c r="E41" t="s">
        <v>77</v>
      </c>
      <c r="F41" t="s">
        <v>78</v>
      </c>
      <c r="G41" t="s">
        <v>79</v>
      </c>
      <c r="H41" t="s">
        <v>52</v>
      </c>
      <c r="I41">
        <v>1</v>
      </c>
      <c r="J41">
        <v>0</v>
      </c>
      <c r="O41">
        <f t="shared" si="3"/>
        <v>24.31</v>
      </c>
      <c r="P41">
        <f t="shared" si="4"/>
        <v>4.14</v>
      </c>
      <c r="Q41">
        <f t="shared" si="5"/>
        <v>3.53</v>
      </c>
      <c r="R41">
        <f t="shared" si="6"/>
        <v>0.15</v>
      </c>
      <c r="S41">
        <f t="shared" si="7"/>
        <v>16.64</v>
      </c>
      <c r="T41">
        <f t="shared" si="8"/>
        <v>0</v>
      </c>
      <c r="U41">
        <f t="shared" si="9"/>
        <v>1.46</v>
      </c>
      <c r="V41">
        <f t="shared" si="10"/>
        <v>0.01</v>
      </c>
      <c r="W41">
        <f t="shared" si="11"/>
        <v>0</v>
      </c>
      <c r="X41">
        <f t="shared" si="12"/>
        <v>21.49</v>
      </c>
      <c r="Y41">
        <f t="shared" si="13"/>
        <v>13.94</v>
      </c>
      <c r="AA41">
        <v>0</v>
      </c>
      <c r="AB41" s="62">
        <f t="shared" si="14"/>
        <v>24.3095</v>
      </c>
      <c r="AC41">
        <f t="shared" si="15"/>
        <v>4.144</v>
      </c>
      <c r="AD41">
        <f t="shared" si="16"/>
        <v>3.525</v>
      </c>
      <c r="AE41">
        <f t="shared" si="17"/>
        <v>0.15</v>
      </c>
      <c r="AF41">
        <f t="shared" si="18"/>
        <v>16.6405</v>
      </c>
      <c r="AG41">
        <f t="shared" si="19"/>
        <v>0</v>
      </c>
      <c r="AH41">
        <f t="shared" si="20"/>
        <v>1.46</v>
      </c>
      <c r="AI41">
        <f t="shared" si="21"/>
        <v>0.01</v>
      </c>
      <c r="AJ41">
        <f t="shared" si="22"/>
        <v>0</v>
      </c>
      <c r="AK41">
        <v>20.25</v>
      </c>
      <c r="AL41" s="65">
        <f>2.96*($AL$23)</f>
        <v>4.144</v>
      </c>
      <c r="AM41">
        <v>2.82</v>
      </c>
      <c r="AN41">
        <v>0.12</v>
      </c>
      <c r="AO41">
        <v>14.47</v>
      </c>
      <c r="AP41">
        <v>0</v>
      </c>
      <c r="AQ41">
        <v>1.46</v>
      </c>
      <c r="AR41">
        <v>0.01</v>
      </c>
      <c r="AS41">
        <v>0</v>
      </c>
      <c r="AT41">
        <v>128</v>
      </c>
      <c r="AU41">
        <v>83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80</v>
      </c>
      <c r="BM41">
        <v>25</v>
      </c>
      <c r="BN41">
        <v>0</v>
      </c>
      <c r="BO41" t="s">
        <v>78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CF41">
        <v>0</v>
      </c>
      <c r="CG41">
        <v>0</v>
      </c>
      <c r="CM41">
        <v>0</v>
      </c>
      <c r="CO41">
        <v>0</v>
      </c>
      <c r="CP41">
        <f t="shared" si="23"/>
        <v>24.310000000000002</v>
      </c>
      <c r="CQ41">
        <f t="shared" si="24"/>
        <v>4.144</v>
      </c>
      <c r="CR41">
        <f t="shared" si="25"/>
        <v>3.525</v>
      </c>
      <c r="CS41">
        <f t="shared" si="26"/>
        <v>0.15</v>
      </c>
      <c r="CT41">
        <f t="shared" si="27"/>
        <v>16.6405</v>
      </c>
      <c r="CU41">
        <f t="shared" si="28"/>
        <v>0</v>
      </c>
      <c r="CV41">
        <f t="shared" si="29"/>
        <v>1.46</v>
      </c>
      <c r="CW41">
        <f t="shared" si="30"/>
        <v>0.01</v>
      </c>
      <c r="CX41">
        <f t="shared" si="31"/>
        <v>0</v>
      </c>
      <c r="CY41">
        <f t="shared" si="32"/>
        <v>21.4912</v>
      </c>
      <c r="CZ41">
        <f t="shared" si="33"/>
        <v>13.935699999999999</v>
      </c>
      <c r="DE41" t="s">
        <v>22</v>
      </c>
      <c r="DF41" t="s">
        <v>22</v>
      </c>
      <c r="DG41" t="s">
        <v>23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52</v>
      </c>
      <c r="DW41" t="s">
        <v>81</v>
      </c>
      <c r="DX41">
        <v>1</v>
      </c>
      <c r="EE41">
        <v>6294917</v>
      </c>
      <c r="EF41">
        <v>2</v>
      </c>
      <c r="EG41" t="s">
        <v>25</v>
      </c>
      <c r="EH41">
        <v>0</v>
      </c>
      <c r="EJ41">
        <v>1</v>
      </c>
      <c r="EK41">
        <v>25</v>
      </c>
      <c r="EL41" t="s">
        <v>26</v>
      </c>
      <c r="EM41" t="s">
        <v>27</v>
      </c>
      <c r="ET41">
        <v>855.81</v>
      </c>
    </row>
    <row r="42" spans="1:150" s="63" customFormat="1" ht="12.75">
      <c r="A42" s="63">
        <v>18</v>
      </c>
      <c r="B42" s="63">
        <v>1</v>
      </c>
      <c r="D42" s="63" t="s">
        <v>83</v>
      </c>
      <c r="E42" s="63" t="s">
        <v>82</v>
      </c>
      <c r="G42" s="63" t="s">
        <v>84</v>
      </c>
      <c r="H42" s="63" t="s">
        <v>52</v>
      </c>
      <c r="I42" s="63">
        <f>I41*J42</f>
        <v>1</v>
      </c>
      <c r="J42" s="63">
        <v>1</v>
      </c>
      <c r="O42" s="63">
        <f t="shared" si="3"/>
        <v>161.21</v>
      </c>
      <c r="P42" s="63">
        <f t="shared" si="4"/>
        <v>161.21</v>
      </c>
      <c r="Q42" s="63">
        <f t="shared" si="5"/>
        <v>0</v>
      </c>
      <c r="R42" s="63">
        <f t="shared" si="6"/>
        <v>0</v>
      </c>
      <c r="S42" s="63">
        <f t="shared" si="7"/>
        <v>0</v>
      </c>
      <c r="T42" s="63">
        <f t="shared" si="8"/>
        <v>0</v>
      </c>
      <c r="U42" s="63">
        <f t="shared" si="9"/>
        <v>0</v>
      </c>
      <c r="V42" s="63">
        <f t="shared" si="10"/>
        <v>0</v>
      </c>
      <c r="W42" s="63">
        <f t="shared" si="11"/>
        <v>0</v>
      </c>
      <c r="X42" s="63">
        <f t="shared" si="12"/>
        <v>0</v>
      </c>
      <c r="Y42" s="63">
        <f t="shared" si="13"/>
        <v>0</v>
      </c>
      <c r="AA42" s="63">
        <v>0</v>
      </c>
      <c r="AB42" s="63">
        <f t="shared" si="14"/>
        <v>161.21</v>
      </c>
      <c r="AC42" s="63">
        <f t="shared" si="15"/>
        <v>161.21</v>
      </c>
      <c r="AD42" s="63">
        <f t="shared" si="16"/>
        <v>0</v>
      </c>
      <c r="AE42" s="63">
        <f t="shared" si="17"/>
        <v>0</v>
      </c>
      <c r="AF42" s="63">
        <f t="shared" si="18"/>
        <v>0</v>
      </c>
      <c r="AG42" s="63">
        <f t="shared" si="19"/>
        <v>0</v>
      </c>
      <c r="AH42" s="63">
        <f t="shared" si="20"/>
        <v>0</v>
      </c>
      <c r="AI42" s="63">
        <f t="shared" si="21"/>
        <v>0</v>
      </c>
      <c r="AJ42" s="63">
        <f t="shared" si="22"/>
        <v>0</v>
      </c>
      <c r="AK42" s="63">
        <v>115.15</v>
      </c>
      <c r="AL42" s="65">
        <f>115.15*($AL$23)</f>
        <v>161.21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128</v>
      </c>
      <c r="AU42" s="63">
        <v>83</v>
      </c>
      <c r="AV42" s="63">
        <v>1</v>
      </c>
      <c r="AW42" s="63">
        <v>1</v>
      </c>
      <c r="AX42" s="63">
        <v>1</v>
      </c>
      <c r="AY42" s="63">
        <v>1</v>
      </c>
      <c r="AZ42" s="63">
        <v>1</v>
      </c>
      <c r="BA42" s="63">
        <v>1</v>
      </c>
      <c r="BB42" s="63">
        <v>1</v>
      </c>
      <c r="BC42" s="63">
        <v>1</v>
      </c>
      <c r="BD42" s="63" t="s">
        <v>5</v>
      </c>
      <c r="BE42" s="63" t="s">
        <v>5</v>
      </c>
      <c r="BF42" s="63" t="s">
        <v>5</v>
      </c>
      <c r="BG42" s="63" t="s">
        <v>5</v>
      </c>
      <c r="BH42" s="63">
        <v>3</v>
      </c>
      <c r="BI42" s="63">
        <v>1</v>
      </c>
      <c r="BJ42" s="63" t="s">
        <v>85</v>
      </c>
      <c r="BM42" s="63">
        <v>25</v>
      </c>
      <c r="BN42" s="63">
        <v>0</v>
      </c>
      <c r="BO42" s="63" t="s">
        <v>83</v>
      </c>
      <c r="BP42" s="63">
        <v>1</v>
      </c>
      <c r="BQ42" s="63">
        <v>2</v>
      </c>
      <c r="BR42" s="63">
        <v>0</v>
      </c>
      <c r="BS42" s="63">
        <v>1</v>
      </c>
      <c r="BT42" s="63">
        <v>1</v>
      </c>
      <c r="BU42" s="63">
        <v>1</v>
      </c>
      <c r="BV42" s="63">
        <v>1</v>
      </c>
      <c r="BW42" s="63">
        <v>1</v>
      </c>
      <c r="BX42" s="63">
        <v>1</v>
      </c>
      <c r="BY42" s="63" t="s">
        <v>5</v>
      </c>
      <c r="CF42" s="63">
        <v>0</v>
      </c>
      <c r="CG42" s="63">
        <v>0</v>
      </c>
      <c r="CM42" s="63">
        <v>0</v>
      </c>
      <c r="CN42" s="63" t="s">
        <v>5</v>
      </c>
      <c r="CO42" s="63">
        <v>0</v>
      </c>
      <c r="CP42" s="63">
        <f t="shared" si="23"/>
        <v>161.21</v>
      </c>
      <c r="CQ42" s="63">
        <f t="shared" si="24"/>
        <v>161.21</v>
      </c>
      <c r="CR42" s="63">
        <f t="shared" si="25"/>
        <v>0</v>
      </c>
      <c r="CS42" s="63">
        <f t="shared" si="26"/>
        <v>0</v>
      </c>
      <c r="CT42" s="63">
        <f t="shared" si="27"/>
        <v>0</v>
      </c>
      <c r="CU42" s="63">
        <f t="shared" si="28"/>
        <v>0</v>
      </c>
      <c r="CV42" s="63">
        <f t="shared" si="29"/>
        <v>0</v>
      </c>
      <c r="CW42" s="63">
        <f t="shared" si="30"/>
        <v>0</v>
      </c>
      <c r="CX42" s="63">
        <f t="shared" si="31"/>
        <v>0</v>
      </c>
      <c r="CY42" s="63">
        <f t="shared" si="32"/>
        <v>0</v>
      </c>
      <c r="CZ42" s="63">
        <f t="shared" si="33"/>
        <v>0</v>
      </c>
      <c r="DC42" s="63" t="s">
        <v>5</v>
      </c>
      <c r="DD42" s="63" t="s">
        <v>5</v>
      </c>
      <c r="DE42" s="63" t="s">
        <v>22</v>
      </c>
      <c r="DF42" s="63" t="s">
        <v>22</v>
      </c>
      <c r="DG42" s="63" t="s">
        <v>23</v>
      </c>
      <c r="DH42" s="63" t="s">
        <v>5</v>
      </c>
      <c r="DI42" s="63" t="s">
        <v>5</v>
      </c>
      <c r="DJ42" s="63" t="s">
        <v>5</v>
      </c>
      <c r="DK42" s="63" t="s">
        <v>5</v>
      </c>
      <c r="DN42" s="63">
        <v>0</v>
      </c>
      <c r="DO42" s="63">
        <v>0</v>
      </c>
      <c r="DP42" s="63">
        <v>1</v>
      </c>
      <c r="DQ42" s="63">
        <v>1</v>
      </c>
      <c r="DR42" s="63">
        <v>1</v>
      </c>
      <c r="DS42" s="63">
        <v>1</v>
      </c>
      <c r="DT42" s="63">
        <v>1</v>
      </c>
      <c r="DU42" s="63">
        <v>1010</v>
      </c>
      <c r="DV42" s="63" t="s">
        <v>52</v>
      </c>
      <c r="DW42" s="63" t="s">
        <v>52</v>
      </c>
      <c r="DX42" s="63">
        <v>1</v>
      </c>
      <c r="EE42" s="63">
        <v>6294917</v>
      </c>
      <c r="EF42" s="63">
        <v>2</v>
      </c>
      <c r="EG42" s="63" t="s">
        <v>25</v>
      </c>
      <c r="EH42" s="63">
        <v>0</v>
      </c>
      <c r="EI42" s="63" t="s">
        <v>5</v>
      </c>
      <c r="EJ42" s="63">
        <v>1</v>
      </c>
      <c r="EK42" s="63">
        <v>25</v>
      </c>
      <c r="EL42" s="63" t="s">
        <v>26</v>
      </c>
      <c r="EM42" s="63" t="s">
        <v>27</v>
      </c>
      <c r="EN42" s="63" t="s">
        <v>5</v>
      </c>
      <c r="ET42" s="63">
        <v>4260.55</v>
      </c>
    </row>
    <row r="43" spans="1:150" ht="12.75">
      <c r="A43">
        <v>17</v>
      </c>
      <c r="B43">
        <v>1</v>
      </c>
      <c r="C43">
        <f>ROW(SmtRes!A148)</f>
        <v>148</v>
      </c>
      <c r="D43" t="s">
        <v>50</v>
      </c>
      <c r="E43" t="s">
        <v>86</v>
      </c>
      <c r="F43" t="s">
        <v>50</v>
      </c>
      <c r="G43" t="s">
        <v>51</v>
      </c>
      <c r="H43" t="s">
        <v>52</v>
      </c>
      <c r="I43">
        <v>1</v>
      </c>
      <c r="J43">
        <v>0</v>
      </c>
      <c r="O43">
        <f t="shared" si="3"/>
        <v>80.03</v>
      </c>
      <c r="P43">
        <f t="shared" si="4"/>
        <v>62.65</v>
      </c>
      <c r="Q43">
        <f t="shared" si="5"/>
        <v>2.05</v>
      </c>
      <c r="R43">
        <f t="shared" si="6"/>
        <v>0.15</v>
      </c>
      <c r="S43">
        <f t="shared" si="7"/>
        <v>15.33</v>
      </c>
      <c r="T43">
        <f t="shared" si="8"/>
        <v>0</v>
      </c>
      <c r="U43">
        <f t="shared" si="9"/>
        <v>1.47</v>
      </c>
      <c r="V43">
        <f t="shared" si="10"/>
        <v>0.01</v>
      </c>
      <c r="W43">
        <f t="shared" si="11"/>
        <v>0</v>
      </c>
      <c r="X43">
        <f t="shared" si="12"/>
        <v>19.81</v>
      </c>
      <c r="Y43">
        <f t="shared" si="13"/>
        <v>12.85</v>
      </c>
      <c r="AA43">
        <v>0</v>
      </c>
      <c r="AB43" s="62">
        <f t="shared" si="14"/>
        <v>80.0295</v>
      </c>
      <c r="AC43">
        <f t="shared" si="15"/>
        <v>62.65</v>
      </c>
      <c r="AD43">
        <f t="shared" si="16"/>
        <v>2.05</v>
      </c>
      <c r="AE43">
        <f t="shared" si="17"/>
        <v>0.15</v>
      </c>
      <c r="AF43">
        <f t="shared" si="18"/>
        <v>15.3295</v>
      </c>
      <c r="AG43">
        <f t="shared" si="19"/>
        <v>0</v>
      </c>
      <c r="AH43">
        <f t="shared" si="20"/>
        <v>1.47</v>
      </c>
      <c r="AI43">
        <f t="shared" si="21"/>
        <v>0.01</v>
      </c>
      <c r="AJ43">
        <f t="shared" si="22"/>
        <v>0</v>
      </c>
      <c r="AK43">
        <v>59.72</v>
      </c>
      <c r="AL43" s="65">
        <f>44.75*($AL$23)</f>
        <v>62.65</v>
      </c>
      <c r="AM43">
        <v>1.64</v>
      </c>
      <c r="AN43">
        <v>0.12</v>
      </c>
      <c r="AO43">
        <v>13.33</v>
      </c>
      <c r="AP43">
        <v>0</v>
      </c>
      <c r="AQ43">
        <v>1.47</v>
      </c>
      <c r="AR43">
        <v>0.01</v>
      </c>
      <c r="AS43">
        <v>0</v>
      </c>
      <c r="AT43">
        <v>128</v>
      </c>
      <c r="AU43">
        <v>83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53</v>
      </c>
      <c r="BM43">
        <v>25</v>
      </c>
      <c r="BN43">
        <v>0</v>
      </c>
      <c r="BO43" t="s">
        <v>50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CF43">
        <v>0</v>
      </c>
      <c r="CG43">
        <v>0</v>
      </c>
      <c r="CM43">
        <v>0</v>
      </c>
      <c r="CO43">
        <v>0</v>
      </c>
      <c r="CP43">
        <f t="shared" si="23"/>
        <v>80.03</v>
      </c>
      <c r="CQ43">
        <f t="shared" si="24"/>
        <v>62.65</v>
      </c>
      <c r="CR43">
        <f t="shared" si="25"/>
        <v>2.05</v>
      </c>
      <c r="CS43">
        <f t="shared" si="26"/>
        <v>0.15</v>
      </c>
      <c r="CT43">
        <f t="shared" si="27"/>
        <v>15.3295</v>
      </c>
      <c r="CU43">
        <f t="shared" si="28"/>
        <v>0</v>
      </c>
      <c r="CV43">
        <f t="shared" si="29"/>
        <v>1.47</v>
      </c>
      <c r="CW43">
        <f t="shared" si="30"/>
        <v>0.01</v>
      </c>
      <c r="CX43">
        <f t="shared" si="31"/>
        <v>0</v>
      </c>
      <c r="CY43">
        <f t="shared" si="32"/>
        <v>19.8144</v>
      </c>
      <c r="CZ43">
        <f t="shared" si="33"/>
        <v>12.848400000000002</v>
      </c>
      <c r="DE43" t="s">
        <v>22</v>
      </c>
      <c r="DF43" t="s">
        <v>22</v>
      </c>
      <c r="DG43" t="s">
        <v>23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52</v>
      </c>
      <c r="DW43" t="s">
        <v>52</v>
      </c>
      <c r="DX43">
        <v>1</v>
      </c>
      <c r="EE43">
        <v>6294917</v>
      </c>
      <c r="EF43">
        <v>2</v>
      </c>
      <c r="EG43" t="s">
        <v>25</v>
      </c>
      <c r="EH43">
        <v>0</v>
      </c>
      <c r="EJ43">
        <v>1</v>
      </c>
      <c r="EK43">
        <v>25</v>
      </c>
      <c r="EL43" t="s">
        <v>26</v>
      </c>
      <c r="EM43" t="s">
        <v>27</v>
      </c>
      <c r="ET43">
        <v>2298.81</v>
      </c>
    </row>
    <row r="44" spans="1:150" s="63" customFormat="1" ht="12.75">
      <c r="A44" s="63">
        <v>18</v>
      </c>
      <c r="B44" s="63">
        <v>1</v>
      </c>
      <c r="D44" s="63" t="s">
        <v>88</v>
      </c>
      <c r="E44" s="63" t="s">
        <v>87</v>
      </c>
      <c r="G44" s="63" t="s">
        <v>89</v>
      </c>
      <c r="H44" s="63" t="s">
        <v>57</v>
      </c>
      <c r="I44" s="63">
        <f>I43*J44</f>
        <v>1</v>
      </c>
      <c r="J44" s="63">
        <v>1</v>
      </c>
      <c r="O44" s="63">
        <f t="shared" si="3"/>
        <v>1703.87</v>
      </c>
      <c r="P44" s="63">
        <f t="shared" si="4"/>
        <v>1703.87</v>
      </c>
      <c r="Q44" s="63">
        <f t="shared" si="5"/>
        <v>0</v>
      </c>
      <c r="R44" s="63">
        <f t="shared" si="6"/>
        <v>0</v>
      </c>
      <c r="S44" s="63">
        <f t="shared" si="7"/>
        <v>0</v>
      </c>
      <c r="T44" s="63">
        <f t="shared" si="8"/>
        <v>0</v>
      </c>
      <c r="U44" s="63">
        <f t="shared" si="9"/>
        <v>0</v>
      </c>
      <c r="V44" s="63">
        <f t="shared" si="10"/>
        <v>0</v>
      </c>
      <c r="W44" s="63">
        <f t="shared" si="11"/>
        <v>0</v>
      </c>
      <c r="X44" s="63">
        <f t="shared" si="12"/>
        <v>0</v>
      </c>
      <c r="Y44" s="63">
        <f t="shared" si="13"/>
        <v>0</v>
      </c>
      <c r="AA44" s="63">
        <v>0</v>
      </c>
      <c r="AB44" s="63">
        <f t="shared" si="14"/>
        <v>1703.87</v>
      </c>
      <c r="AC44" s="63">
        <f t="shared" si="15"/>
        <v>1703.87</v>
      </c>
      <c r="AD44" s="63">
        <f t="shared" si="16"/>
        <v>0</v>
      </c>
      <c r="AE44" s="63">
        <f t="shared" si="17"/>
        <v>0</v>
      </c>
      <c r="AF44" s="63">
        <f t="shared" si="18"/>
        <v>0</v>
      </c>
      <c r="AG44" s="63">
        <f t="shared" si="19"/>
        <v>0</v>
      </c>
      <c r="AH44" s="63">
        <f t="shared" si="20"/>
        <v>0</v>
      </c>
      <c r="AI44" s="63">
        <f t="shared" si="21"/>
        <v>0</v>
      </c>
      <c r="AJ44" s="63">
        <f t="shared" si="22"/>
        <v>0</v>
      </c>
      <c r="AK44" s="63">
        <v>1217.05</v>
      </c>
      <c r="AL44" s="65">
        <f>1217.05*($AL$23)</f>
        <v>1703.87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128</v>
      </c>
      <c r="AU44" s="63">
        <v>83</v>
      </c>
      <c r="AV44" s="63">
        <v>1</v>
      </c>
      <c r="AW44" s="63">
        <v>1</v>
      </c>
      <c r="AX44" s="63">
        <v>1</v>
      </c>
      <c r="AY44" s="63">
        <v>1</v>
      </c>
      <c r="AZ44" s="63">
        <v>1</v>
      </c>
      <c r="BA44" s="63">
        <v>1</v>
      </c>
      <c r="BB44" s="63">
        <v>1</v>
      </c>
      <c r="BC44" s="63">
        <v>1</v>
      </c>
      <c r="BD44" s="63" t="s">
        <v>5</v>
      </c>
      <c r="BE44" s="63" t="s">
        <v>5</v>
      </c>
      <c r="BF44" s="63" t="s">
        <v>5</v>
      </c>
      <c r="BG44" s="63" t="s">
        <v>5</v>
      </c>
      <c r="BH44" s="63">
        <v>3</v>
      </c>
      <c r="BI44" s="63">
        <v>1</v>
      </c>
      <c r="BJ44" s="63" t="s">
        <v>5</v>
      </c>
      <c r="BM44" s="63">
        <v>25</v>
      </c>
      <c r="BN44" s="63">
        <v>0</v>
      </c>
      <c r="BO44" s="63" t="s">
        <v>5</v>
      </c>
      <c r="BP44" s="63">
        <v>0</v>
      </c>
      <c r="BQ44" s="63">
        <v>2</v>
      </c>
      <c r="BR44" s="63">
        <v>0</v>
      </c>
      <c r="BS44" s="63">
        <v>1</v>
      </c>
      <c r="BT44" s="63">
        <v>1</v>
      </c>
      <c r="BU44" s="63">
        <v>1</v>
      </c>
      <c r="BV44" s="63">
        <v>1</v>
      </c>
      <c r="BW44" s="63">
        <v>1</v>
      </c>
      <c r="BX44" s="63">
        <v>1</v>
      </c>
      <c r="BY44" s="63" t="s">
        <v>5</v>
      </c>
      <c r="CF44" s="63">
        <v>0</v>
      </c>
      <c r="CG44" s="63">
        <v>0</v>
      </c>
      <c r="CM44" s="63">
        <v>0</v>
      </c>
      <c r="CN44" s="63" t="s">
        <v>5</v>
      </c>
      <c r="CO44" s="63">
        <v>0</v>
      </c>
      <c r="CP44" s="63">
        <f t="shared" si="23"/>
        <v>1703.87</v>
      </c>
      <c r="CQ44" s="63">
        <f t="shared" si="24"/>
        <v>1703.87</v>
      </c>
      <c r="CR44" s="63">
        <f t="shared" si="25"/>
        <v>0</v>
      </c>
      <c r="CS44" s="63">
        <f t="shared" si="26"/>
        <v>0</v>
      </c>
      <c r="CT44" s="63">
        <f t="shared" si="27"/>
        <v>0</v>
      </c>
      <c r="CU44" s="63">
        <f t="shared" si="28"/>
        <v>0</v>
      </c>
      <c r="CV44" s="63">
        <f t="shared" si="29"/>
        <v>0</v>
      </c>
      <c r="CW44" s="63">
        <f t="shared" si="30"/>
        <v>0</v>
      </c>
      <c r="CX44" s="63">
        <f t="shared" si="31"/>
        <v>0</v>
      </c>
      <c r="CY44" s="63">
        <f t="shared" si="32"/>
        <v>0</v>
      </c>
      <c r="CZ44" s="63">
        <f t="shared" si="33"/>
        <v>0</v>
      </c>
      <c r="DC44" s="63" t="s">
        <v>5</v>
      </c>
      <c r="DD44" s="63" t="s">
        <v>5</v>
      </c>
      <c r="DE44" s="63" t="s">
        <v>22</v>
      </c>
      <c r="DF44" s="63" t="s">
        <v>22</v>
      </c>
      <c r="DG44" s="63" t="s">
        <v>23</v>
      </c>
      <c r="DH44" s="63" t="s">
        <v>5</v>
      </c>
      <c r="DI44" s="63" t="s">
        <v>5</v>
      </c>
      <c r="DJ44" s="63" t="s">
        <v>5</v>
      </c>
      <c r="DK44" s="63" t="s">
        <v>5</v>
      </c>
      <c r="DN44" s="63">
        <v>0</v>
      </c>
      <c r="DO44" s="63">
        <v>0</v>
      </c>
      <c r="DP44" s="63">
        <v>1</v>
      </c>
      <c r="DQ44" s="63">
        <v>1</v>
      </c>
      <c r="DR44" s="63">
        <v>1</v>
      </c>
      <c r="DS44" s="63">
        <v>1</v>
      </c>
      <c r="DT44" s="63">
        <v>1</v>
      </c>
      <c r="DU44" s="63">
        <v>1013</v>
      </c>
      <c r="DV44" s="63" t="s">
        <v>57</v>
      </c>
      <c r="DW44" s="63" t="s">
        <v>57</v>
      </c>
      <c r="DX44" s="63">
        <v>1</v>
      </c>
      <c r="EE44" s="63">
        <v>6294917</v>
      </c>
      <c r="EF44" s="63">
        <v>2</v>
      </c>
      <c r="EG44" s="63" t="s">
        <v>25</v>
      </c>
      <c r="EH44" s="63">
        <v>0</v>
      </c>
      <c r="EI44" s="63" t="s">
        <v>5</v>
      </c>
      <c r="EJ44" s="63">
        <v>1</v>
      </c>
      <c r="EK44" s="63">
        <v>25</v>
      </c>
      <c r="EL44" s="63" t="s">
        <v>26</v>
      </c>
      <c r="EM44" s="63" t="s">
        <v>27</v>
      </c>
      <c r="EN44" s="63" t="s">
        <v>5</v>
      </c>
      <c r="ET44" s="63">
        <v>45030.85</v>
      </c>
    </row>
    <row r="45" spans="1:150" s="63" customFormat="1" ht="12.75">
      <c r="A45" s="63">
        <v>18</v>
      </c>
      <c r="B45" s="63">
        <v>1</v>
      </c>
      <c r="D45" s="63" t="s">
        <v>91</v>
      </c>
      <c r="E45" s="63" t="s">
        <v>90</v>
      </c>
      <c r="G45" s="63" t="s">
        <v>92</v>
      </c>
      <c r="H45" s="63" t="s">
        <v>52</v>
      </c>
      <c r="I45" s="63">
        <f>I43*J45</f>
        <v>2</v>
      </c>
      <c r="J45" s="63">
        <v>2</v>
      </c>
      <c r="O45" s="63">
        <f t="shared" si="3"/>
        <v>456.37</v>
      </c>
      <c r="P45" s="63">
        <f t="shared" si="4"/>
        <v>456.37</v>
      </c>
      <c r="Q45" s="63">
        <f t="shared" si="5"/>
        <v>0</v>
      </c>
      <c r="R45" s="63">
        <f t="shared" si="6"/>
        <v>0</v>
      </c>
      <c r="S45" s="63">
        <f t="shared" si="7"/>
        <v>0</v>
      </c>
      <c r="T45" s="63">
        <f t="shared" si="8"/>
        <v>0</v>
      </c>
      <c r="U45" s="63">
        <f t="shared" si="9"/>
        <v>0</v>
      </c>
      <c r="V45" s="63">
        <f t="shared" si="10"/>
        <v>0</v>
      </c>
      <c r="W45" s="63">
        <f t="shared" si="11"/>
        <v>0</v>
      </c>
      <c r="X45" s="63">
        <f t="shared" si="12"/>
        <v>0</v>
      </c>
      <c r="Y45" s="63">
        <f t="shared" si="13"/>
        <v>0</v>
      </c>
      <c r="AA45" s="63">
        <v>0</v>
      </c>
      <c r="AB45" s="63">
        <f t="shared" si="14"/>
        <v>228.186</v>
      </c>
      <c r="AC45" s="63">
        <f t="shared" si="15"/>
        <v>228.186</v>
      </c>
      <c r="AD45" s="63">
        <f t="shared" si="16"/>
        <v>0</v>
      </c>
      <c r="AE45" s="63">
        <f t="shared" si="17"/>
        <v>0</v>
      </c>
      <c r="AF45" s="63">
        <f t="shared" si="18"/>
        <v>0</v>
      </c>
      <c r="AG45" s="63">
        <f t="shared" si="19"/>
        <v>0</v>
      </c>
      <c r="AH45" s="63">
        <f t="shared" si="20"/>
        <v>0</v>
      </c>
      <c r="AI45" s="63">
        <f t="shared" si="21"/>
        <v>0</v>
      </c>
      <c r="AJ45" s="63">
        <f t="shared" si="22"/>
        <v>0</v>
      </c>
      <c r="AK45" s="63">
        <v>162.99</v>
      </c>
      <c r="AL45" s="65">
        <f>162.99*($AL$23)</f>
        <v>228.186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128</v>
      </c>
      <c r="AU45" s="63">
        <v>83</v>
      </c>
      <c r="AV45" s="63">
        <v>1</v>
      </c>
      <c r="AW45" s="63">
        <v>1</v>
      </c>
      <c r="AX45" s="63">
        <v>1</v>
      </c>
      <c r="AY45" s="63">
        <v>1</v>
      </c>
      <c r="AZ45" s="63">
        <v>1</v>
      </c>
      <c r="BA45" s="63">
        <v>1</v>
      </c>
      <c r="BB45" s="63">
        <v>1</v>
      </c>
      <c r="BC45" s="63">
        <v>1</v>
      </c>
      <c r="BD45" s="63" t="s">
        <v>5</v>
      </c>
      <c r="BE45" s="63" t="s">
        <v>5</v>
      </c>
      <c r="BF45" s="63" t="s">
        <v>5</v>
      </c>
      <c r="BG45" s="63" t="s">
        <v>5</v>
      </c>
      <c r="BH45" s="63">
        <v>3</v>
      </c>
      <c r="BI45" s="63">
        <v>1</v>
      </c>
      <c r="BJ45" s="63" t="s">
        <v>93</v>
      </c>
      <c r="BM45" s="63">
        <v>25</v>
      </c>
      <c r="BN45" s="63">
        <v>0</v>
      </c>
      <c r="BO45" s="63" t="s">
        <v>91</v>
      </c>
      <c r="BP45" s="63">
        <v>1</v>
      </c>
      <c r="BQ45" s="63">
        <v>2</v>
      </c>
      <c r="BR45" s="63">
        <v>0</v>
      </c>
      <c r="BS45" s="63">
        <v>1</v>
      </c>
      <c r="BT45" s="63">
        <v>1</v>
      </c>
      <c r="BU45" s="63">
        <v>1</v>
      </c>
      <c r="BV45" s="63">
        <v>1</v>
      </c>
      <c r="BW45" s="63">
        <v>1</v>
      </c>
      <c r="BX45" s="63">
        <v>1</v>
      </c>
      <c r="BY45" s="63" t="s">
        <v>5</v>
      </c>
      <c r="CF45" s="63">
        <v>0</v>
      </c>
      <c r="CG45" s="63">
        <v>0</v>
      </c>
      <c r="CM45" s="63">
        <v>0</v>
      </c>
      <c r="CN45" s="63" t="s">
        <v>5</v>
      </c>
      <c r="CO45" s="63">
        <v>0</v>
      </c>
      <c r="CP45" s="63">
        <f t="shared" si="23"/>
        <v>456.37</v>
      </c>
      <c r="CQ45" s="63">
        <f t="shared" si="24"/>
        <v>228.186</v>
      </c>
      <c r="CR45" s="63">
        <f t="shared" si="25"/>
        <v>0</v>
      </c>
      <c r="CS45" s="63">
        <f t="shared" si="26"/>
        <v>0</v>
      </c>
      <c r="CT45" s="63">
        <f t="shared" si="27"/>
        <v>0</v>
      </c>
      <c r="CU45" s="63">
        <f t="shared" si="28"/>
        <v>0</v>
      </c>
      <c r="CV45" s="63">
        <f t="shared" si="29"/>
        <v>0</v>
      </c>
      <c r="CW45" s="63">
        <f t="shared" si="30"/>
        <v>0</v>
      </c>
      <c r="CX45" s="63">
        <f t="shared" si="31"/>
        <v>0</v>
      </c>
      <c r="CY45" s="63">
        <f t="shared" si="32"/>
        <v>0</v>
      </c>
      <c r="CZ45" s="63">
        <f t="shared" si="33"/>
        <v>0</v>
      </c>
      <c r="DC45" s="63" t="s">
        <v>5</v>
      </c>
      <c r="DD45" s="63" t="s">
        <v>5</v>
      </c>
      <c r="DE45" s="63" t="s">
        <v>22</v>
      </c>
      <c r="DF45" s="63" t="s">
        <v>22</v>
      </c>
      <c r="DG45" s="63" t="s">
        <v>23</v>
      </c>
      <c r="DH45" s="63" t="s">
        <v>5</v>
      </c>
      <c r="DI45" s="63" t="s">
        <v>5</v>
      </c>
      <c r="DJ45" s="63" t="s">
        <v>5</v>
      </c>
      <c r="DK45" s="63" t="s">
        <v>5</v>
      </c>
      <c r="DN45" s="63">
        <v>0</v>
      </c>
      <c r="DO45" s="63">
        <v>0</v>
      </c>
      <c r="DP45" s="63">
        <v>1</v>
      </c>
      <c r="DQ45" s="63">
        <v>1</v>
      </c>
      <c r="DR45" s="63">
        <v>1</v>
      </c>
      <c r="DS45" s="63">
        <v>1</v>
      </c>
      <c r="DT45" s="63">
        <v>1</v>
      </c>
      <c r="DU45" s="63">
        <v>1010</v>
      </c>
      <c r="DV45" s="63" t="s">
        <v>52</v>
      </c>
      <c r="DW45" s="63" t="s">
        <v>52</v>
      </c>
      <c r="DX45" s="63">
        <v>1</v>
      </c>
      <c r="EE45" s="63">
        <v>6294917</v>
      </c>
      <c r="EF45" s="63">
        <v>2</v>
      </c>
      <c r="EG45" s="63" t="s">
        <v>25</v>
      </c>
      <c r="EH45" s="63">
        <v>0</v>
      </c>
      <c r="EI45" s="63" t="s">
        <v>5</v>
      </c>
      <c r="EJ45" s="63">
        <v>1</v>
      </c>
      <c r="EK45" s="63">
        <v>25</v>
      </c>
      <c r="EL45" s="63" t="s">
        <v>26</v>
      </c>
      <c r="EM45" s="63" t="s">
        <v>27</v>
      </c>
      <c r="EN45" s="63" t="s">
        <v>5</v>
      </c>
      <c r="ET45" s="63">
        <v>12061.26</v>
      </c>
    </row>
    <row r="46" spans="1:150" ht="12.75">
      <c r="A46">
        <v>17</v>
      </c>
      <c r="B46">
        <v>1</v>
      </c>
      <c r="C46">
        <f>ROW(SmtRes!A161)</f>
        <v>161</v>
      </c>
      <c r="D46" t="s">
        <v>95</v>
      </c>
      <c r="E46" t="s">
        <v>94</v>
      </c>
      <c r="F46" t="s">
        <v>95</v>
      </c>
      <c r="G46" t="s">
        <v>96</v>
      </c>
      <c r="H46" t="s">
        <v>52</v>
      </c>
      <c r="I46">
        <v>2</v>
      </c>
      <c r="J46">
        <v>0</v>
      </c>
      <c r="O46">
        <f t="shared" si="3"/>
        <v>2152.59</v>
      </c>
      <c r="P46">
        <f t="shared" si="4"/>
        <v>2092.3</v>
      </c>
      <c r="Q46">
        <f t="shared" si="5"/>
        <v>12.33</v>
      </c>
      <c r="R46">
        <f t="shared" si="6"/>
        <v>1.78</v>
      </c>
      <c r="S46">
        <f t="shared" si="7"/>
        <v>47.96</v>
      </c>
      <c r="T46">
        <f t="shared" si="8"/>
        <v>0</v>
      </c>
      <c r="U46">
        <f t="shared" si="9"/>
        <v>4.34</v>
      </c>
      <c r="V46">
        <f t="shared" si="10"/>
        <v>0.12</v>
      </c>
      <c r="W46">
        <f t="shared" si="11"/>
        <v>0</v>
      </c>
      <c r="X46">
        <f t="shared" si="12"/>
        <v>63.67</v>
      </c>
      <c r="Y46">
        <f t="shared" si="13"/>
        <v>41.28</v>
      </c>
      <c r="AA46">
        <v>0</v>
      </c>
      <c r="AB46" s="62">
        <f t="shared" si="14"/>
        <v>1076.2899999999997</v>
      </c>
      <c r="AC46">
        <f t="shared" si="15"/>
        <v>1046.1499999999999</v>
      </c>
      <c r="AD46">
        <f t="shared" si="16"/>
        <v>6.1625</v>
      </c>
      <c r="AE46">
        <f t="shared" si="17"/>
        <v>0.8875</v>
      </c>
      <c r="AF46">
        <f t="shared" si="18"/>
        <v>23.9775</v>
      </c>
      <c r="AG46">
        <f t="shared" si="19"/>
        <v>0</v>
      </c>
      <c r="AH46">
        <f t="shared" si="20"/>
        <v>2.17</v>
      </c>
      <c r="AI46">
        <f t="shared" si="21"/>
        <v>0.06</v>
      </c>
      <c r="AJ46">
        <f t="shared" si="22"/>
        <v>0</v>
      </c>
      <c r="AK46">
        <v>773.03</v>
      </c>
      <c r="AL46" s="65">
        <f>747.25*($AL$23)</f>
        <v>1046.1499999999999</v>
      </c>
      <c r="AM46">
        <v>4.93</v>
      </c>
      <c r="AN46">
        <v>0.71</v>
      </c>
      <c r="AO46">
        <v>20.85</v>
      </c>
      <c r="AP46">
        <v>0</v>
      </c>
      <c r="AQ46">
        <v>2.17</v>
      </c>
      <c r="AR46">
        <v>0.06</v>
      </c>
      <c r="AS46">
        <v>0</v>
      </c>
      <c r="AT46">
        <v>128</v>
      </c>
      <c r="AU46">
        <v>83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97</v>
      </c>
      <c r="BM46">
        <v>25</v>
      </c>
      <c r="BN46">
        <v>0</v>
      </c>
      <c r="BO46" t="s">
        <v>95</v>
      </c>
      <c r="BP46">
        <v>1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CF46">
        <v>0</v>
      </c>
      <c r="CG46">
        <v>0</v>
      </c>
      <c r="CM46">
        <v>0</v>
      </c>
      <c r="CO46">
        <v>0</v>
      </c>
      <c r="CP46">
        <f t="shared" si="23"/>
        <v>2152.59</v>
      </c>
      <c r="CQ46">
        <f t="shared" si="24"/>
        <v>1046.1499999999999</v>
      </c>
      <c r="CR46">
        <f t="shared" si="25"/>
        <v>6.1625</v>
      </c>
      <c r="CS46">
        <f t="shared" si="26"/>
        <v>0.8875</v>
      </c>
      <c r="CT46">
        <f t="shared" si="27"/>
        <v>23.9775</v>
      </c>
      <c r="CU46">
        <f t="shared" si="28"/>
        <v>0</v>
      </c>
      <c r="CV46">
        <f t="shared" si="29"/>
        <v>2.17</v>
      </c>
      <c r="CW46">
        <f t="shared" si="30"/>
        <v>0.06</v>
      </c>
      <c r="CX46">
        <f t="shared" si="31"/>
        <v>0</v>
      </c>
      <c r="CY46">
        <f t="shared" si="32"/>
        <v>63.6672</v>
      </c>
      <c r="CZ46">
        <f t="shared" si="33"/>
        <v>41.2842</v>
      </c>
      <c r="DE46" t="s">
        <v>22</v>
      </c>
      <c r="DF46" t="s">
        <v>22</v>
      </c>
      <c r="DG46" t="s">
        <v>23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52</v>
      </c>
      <c r="DW46" t="s">
        <v>98</v>
      </c>
      <c r="DX46">
        <v>1</v>
      </c>
      <c r="EE46">
        <v>6294917</v>
      </c>
      <c r="EF46">
        <v>2</v>
      </c>
      <c r="EG46" t="s">
        <v>25</v>
      </c>
      <c r="EH46">
        <v>0</v>
      </c>
      <c r="EJ46">
        <v>1</v>
      </c>
      <c r="EK46">
        <v>25</v>
      </c>
      <c r="EL46" t="s">
        <v>26</v>
      </c>
      <c r="EM46" t="s">
        <v>27</v>
      </c>
      <c r="ET46">
        <v>57527.23</v>
      </c>
    </row>
    <row r="47" spans="1:150" s="63" customFormat="1" ht="12.75">
      <c r="A47" s="63">
        <v>18</v>
      </c>
      <c r="B47" s="63">
        <v>1</v>
      </c>
      <c r="D47" s="63" t="s">
        <v>100</v>
      </c>
      <c r="E47" s="63" t="s">
        <v>99</v>
      </c>
      <c r="G47" s="63" t="s">
        <v>101</v>
      </c>
      <c r="H47" s="63" t="s">
        <v>52</v>
      </c>
      <c r="I47" s="63">
        <f>I46*J47</f>
        <v>1</v>
      </c>
      <c r="J47" s="63">
        <v>0.5</v>
      </c>
      <c r="O47" s="63">
        <f t="shared" si="3"/>
        <v>965.45</v>
      </c>
      <c r="P47" s="63">
        <f t="shared" si="4"/>
        <v>965.45</v>
      </c>
      <c r="Q47" s="63">
        <f t="shared" si="5"/>
        <v>0</v>
      </c>
      <c r="R47" s="63">
        <f t="shared" si="6"/>
        <v>0</v>
      </c>
      <c r="S47" s="63">
        <f t="shared" si="7"/>
        <v>0</v>
      </c>
      <c r="T47" s="63">
        <f t="shared" si="8"/>
        <v>0</v>
      </c>
      <c r="U47" s="63">
        <f t="shared" si="9"/>
        <v>0</v>
      </c>
      <c r="V47" s="63">
        <f t="shared" si="10"/>
        <v>0</v>
      </c>
      <c r="W47" s="63">
        <f t="shared" si="11"/>
        <v>0</v>
      </c>
      <c r="X47" s="63">
        <f t="shared" si="12"/>
        <v>0</v>
      </c>
      <c r="Y47" s="63">
        <f t="shared" si="13"/>
        <v>0</v>
      </c>
      <c r="AA47" s="63">
        <v>0</v>
      </c>
      <c r="AB47" s="63">
        <f t="shared" si="14"/>
        <v>965.454</v>
      </c>
      <c r="AC47" s="63">
        <f t="shared" si="15"/>
        <v>965.454</v>
      </c>
      <c r="AD47" s="63">
        <f t="shared" si="16"/>
        <v>0</v>
      </c>
      <c r="AE47" s="63">
        <f t="shared" si="17"/>
        <v>0</v>
      </c>
      <c r="AF47" s="63">
        <f t="shared" si="18"/>
        <v>0</v>
      </c>
      <c r="AG47" s="63">
        <f t="shared" si="19"/>
        <v>0</v>
      </c>
      <c r="AH47" s="63">
        <f t="shared" si="20"/>
        <v>0</v>
      </c>
      <c r="AI47" s="63">
        <f t="shared" si="21"/>
        <v>0</v>
      </c>
      <c r="AJ47" s="63">
        <f t="shared" si="22"/>
        <v>0</v>
      </c>
      <c r="AK47" s="63">
        <v>689.61</v>
      </c>
      <c r="AL47" s="65">
        <f>689.61*($AL$23)</f>
        <v>965.454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128</v>
      </c>
      <c r="AU47" s="63">
        <v>83</v>
      </c>
      <c r="AV47" s="63">
        <v>1</v>
      </c>
      <c r="AW47" s="63">
        <v>1</v>
      </c>
      <c r="AX47" s="63">
        <v>1</v>
      </c>
      <c r="AY47" s="63">
        <v>1</v>
      </c>
      <c r="AZ47" s="63">
        <v>1</v>
      </c>
      <c r="BA47" s="63">
        <v>1</v>
      </c>
      <c r="BB47" s="63">
        <v>1</v>
      </c>
      <c r="BC47" s="63">
        <v>1</v>
      </c>
      <c r="BD47" s="63" t="s">
        <v>5</v>
      </c>
      <c r="BE47" s="63" t="s">
        <v>5</v>
      </c>
      <c r="BF47" s="63" t="s">
        <v>5</v>
      </c>
      <c r="BG47" s="63" t="s">
        <v>5</v>
      </c>
      <c r="BH47" s="63">
        <v>3</v>
      </c>
      <c r="BI47" s="63">
        <v>1</v>
      </c>
      <c r="BJ47" s="63" t="s">
        <v>102</v>
      </c>
      <c r="BM47" s="63">
        <v>25</v>
      </c>
      <c r="BN47" s="63">
        <v>0</v>
      </c>
      <c r="BO47" s="63" t="s">
        <v>5</v>
      </c>
      <c r="BP47" s="63">
        <v>0</v>
      </c>
      <c r="BQ47" s="63">
        <v>2</v>
      </c>
      <c r="BR47" s="63">
        <v>0</v>
      </c>
      <c r="BS47" s="63">
        <v>1</v>
      </c>
      <c r="BT47" s="63">
        <v>1</v>
      </c>
      <c r="BU47" s="63">
        <v>1</v>
      </c>
      <c r="BV47" s="63">
        <v>1</v>
      </c>
      <c r="BW47" s="63">
        <v>1</v>
      </c>
      <c r="BX47" s="63">
        <v>1</v>
      </c>
      <c r="BY47" s="63" t="s">
        <v>5</v>
      </c>
      <c r="CF47" s="63">
        <v>0</v>
      </c>
      <c r="CG47" s="63">
        <v>0</v>
      </c>
      <c r="CM47" s="63">
        <v>0</v>
      </c>
      <c r="CN47" s="63" t="s">
        <v>5</v>
      </c>
      <c r="CO47" s="63">
        <v>0</v>
      </c>
      <c r="CP47" s="63">
        <f t="shared" si="23"/>
        <v>965.45</v>
      </c>
      <c r="CQ47" s="63">
        <f t="shared" si="24"/>
        <v>965.454</v>
      </c>
      <c r="CR47" s="63">
        <f t="shared" si="25"/>
        <v>0</v>
      </c>
      <c r="CS47" s="63">
        <f t="shared" si="26"/>
        <v>0</v>
      </c>
      <c r="CT47" s="63">
        <f t="shared" si="27"/>
        <v>0</v>
      </c>
      <c r="CU47" s="63">
        <f t="shared" si="28"/>
        <v>0</v>
      </c>
      <c r="CV47" s="63">
        <f t="shared" si="29"/>
        <v>0</v>
      </c>
      <c r="CW47" s="63">
        <f t="shared" si="30"/>
        <v>0</v>
      </c>
      <c r="CX47" s="63">
        <f t="shared" si="31"/>
        <v>0</v>
      </c>
      <c r="CY47" s="63">
        <f t="shared" si="32"/>
        <v>0</v>
      </c>
      <c r="CZ47" s="63">
        <f t="shared" si="33"/>
        <v>0</v>
      </c>
      <c r="DC47" s="63" t="s">
        <v>5</v>
      </c>
      <c r="DD47" s="63" t="s">
        <v>5</v>
      </c>
      <c r="DE47" s="63" t="s">
        <v>22</v>
      </c>
      <c r="DF47" s="63" t="s">
        <v>22</v>
      </c>
      <c r="DG47" s="63" t="s">
        <v>23</v>
      </c>
      <c r="DH47" s="63" t="s">
        <v>5</v>
      </c>
      <c r="DI47" s="63" t="s">
        <v>5</v>
      </c>
      <c r="DJ47" s="63" t="s">
        <v>5</v>
      </c>
      <c r="DK47" s="63" t="s">
        <v>5</v>
      </c>
      <c r="DN47" s="63">
        <v>0</v>
      </c>
      <c r="DO47" s="63">
        <v>0</v>
      </c>
      <c r="DP47" s="63">
        <v>1</v>
      </c>
      <c r="DQ47" s="63">
        <v>1</v>
      </c>
      <c r="DR47" s="63">
        <v>1</v>
      </c>
      <c r="DS47" s="63">
        <v>1</v>
      </c>
      <c r="DT47" s="63">
        <v>1</v>
      </c>
      <c r="DU47" s="63">
        <v>1010</v>
      </c>
      <c r="DV47" s="63" t="s">
        <v>52</v>
      </c>
      <c r="DW47" s="63" t="s">
        <v>52</v>
      </c>
      <c r="DX47" s="63">
        <v>1</v>
      </c>
      <c r="EE47" s="63">
        <v>6294917</v>
      </c>
      <c r="EF47" s="63">
        <v>2</v>
      </c>
      <c r="EG47" s="63" t="s">
        <v>25</v>
      </c>
      <c r="EH47" s="63">
        <v>0</v>
      </c>
      <c r="EI47" s="63" t="s">
        <v>5</v>
      </c>
      <c r="EJ47" s="63">
        <v>1</v>
      </c>
      <c r="EK47" s="63">
        <v>25</v>
      </c>
      <c r="EL47" s="63" t="s">
        <v>26</v>
      </c>
      <c r="EM47" s="63" t="s">
        <v>27</v>
      </c>
      <c r="EN47" s="63" t="s">
        <v>5</v>
      </c>
      <c r="ET47" s="63">
        <v>25515.57</v>
      </c>
    </row>
    <row r="48" spans="1:150" s="63" customFormat="1" ht="12.75">
      <c r="A48" s="63">
        <v>18</v>
      </c>
      <c r="B48" s="63">
        <v>1</v>
      </c>
      <c r="D48" s="63" t="s">
        <v>5</v>
      </c>
      <c r="E48" s="63" t="s">
        <v>103</v>
      </c>
      <c r="F48" s="63" t="s">
        <v>5</v>
      </c>
      <c r="G48" s="63" t="s">
        <v>104</v>
      </c>
      <c r="H48" s="63" t="s">
        <v>57</v>
      </c>
      <c r="I48" s="63">
        <f>I46*J48</f>
        <v>1</v>
      </c>
      <c r="J48" s="63">
        <v>0.5</v>
      </c>
      <c r="O48" s="63">
        <f t="shared" si="3"/>
        <v>1773.04</v>
      </c>
      <c r="P48" s="63">
        <f t="shared" si="4"/>
        <v>1773.04</v>
      </c>
      <c r="Q48" s="63">
        <f t="shared" si="5"/>
        <v>0</v>
      </c>
      <c r="R48" s="63">
        <f t="shared" si="6"/>
        <v>0</v>
      </c>
      <c r="S48" s="63">
        <f t="shared" si="7"/>
        <v>0</v>
      </c>
      <c r="T48" s="63">
        <f t="shared" si="8"/>
        <v>0</v>
      </c>
      <c r="U48" s="63">
        <f t="shared" si="9"/>
        <v>0</v>
      </c>
      <c r="V48" s="63">
        <f t="shared" si="10"/>
        <v>0</v>
      </c>
      <c r="W48" s="63">
        <f t="shared" si="11"/>
        <v>0</v>
      </c>
      <c r="X48" s="63">
        <f t="shared" si="12"/>
        <v>0</v>
      </c>
      <c r="Y48" s="63">
        <f t="shared" si="13"/>
        <v>0</v>
      </c>
      <c r="AA48" s="63">
        <v>0</v>
      </c>
      <c r="AB48" s="63">
        <f t="shared" si="14"/>
        <v>1773.0439999999999</v>
      </c>
      <c r="AC48" s="63">
        <f t="shared" si="15"/>
        <v>1773.0439999999999</v>
      </c>
      <c r="AD48" s="63">
        <f t="shared" si="16"/>
        <v>0</v>
      </c>
      <c r="AE48" s="63">
        <f t="shared" si="17"/>
        <v>0</v>
      </c>
      <c r="AF48" s="63">
        <f t="shared" si="18"/>
        <v>0</v>
      </c>
      <c r="AG48" s="63">
        <f t="shared" si="19"/>
        <v>0</v>
      </c>
      <c r="AH48" s="63">
        <f t="shared" si="20"/>
        <v>0</v>
      </c>
      <c r="AI48" s="63">
        <f t="shared" si="21"/>
        <v>0</v>
      </c>
      <c r="AJ48" s="63">
        <f t="shared" si="22"/>
        <v>0</v>
      </c>
      <c r="AK48" s="63">
        <v>1266.46</v>
      </c>
      <c r="AL48" s="65">
        <f>1266.46*($AL$23)</f>
        <v>1773.0439999999999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128</v>
      </c>
      <c r="AU48" s="63">
        <v>83</v>
      </c>
      <c r="AV48" s="63">
        <v>1</v>
      </c>
      <c r="AW48" s="63">
        <v>1</v>
      </c>
      <c r="AX48" s="63">
        <v>1</v>
      </c>
      <c r="AY48" s="63">
        <v>1</v>
      </c>
      <c r="AZ48" s="63">
        <v>1</v>
      </c>
      <c r="BA48" s="63">
        <v>1</v>
      </c>
      <c r="BB48" s="63">
        <v>1</v>
      </c>
      <c r="BC48" s="63">
        <v>1</v>
      </c>
      <c r="BD48" s="63" t="s">
        <v>5</v>
      </c>
      <c r="BE48" s="63" t="s">
        <v>5</v>
      </c>
      <c r="BF48" s="63" t="s">
        <v>5</v>
      </c>
      <c r="BG48" s="63" t="s">
        <v>5</v>
      </c>
      <c r="BH48" s="63">
        <v>3</v>
      </c>
      <c r="BI48" s="63">
        <v>1</v>
      </c>
      <c r="BJ48" s="63" t="s">
        <v>5</v>
      </c>
      <c r="BM48" s="63">
        <v>25</v>
      </c>
      <c r="BN48" s="63">
        <v>0</v>
      </c>
      <c r="BO48" s="63" t="s">
        <v>5</v>
      </c>
      <c r="BP48" s="63">
        <v>0</v>
      </c>
      <c r="BQ48" s="63">
        <v>2</v>
      </c>
      <c r="BR48" s="63">
        <v>0</v>
      </c>
      <c r="BS48" s="63">
        <v>1</v>
      </c>
      <c r="BT48" s="63">
        <v>1</v>
      </c>
      <c r="BU48" s="63">
        <v>1</v>
      </c>
      <c r="BV48" s="63">
        <v>1</v>
      </c>
      <c r="BW48" s="63">
        <v>1</v>
      </c>
      <c r="BX48" s="63">
        <v>1</v>
      </c>
      <c r="BY48" s="63" t="s">
        <v>5</v>
      </c>
      <c r="CF48" s="63">
        <v>0</v>
      </c>
      <c r="CG48" s="63">
        <v>0</v>
      </c>
      <c r="CM48" s="63">
        <v>0</v>
      </c>
      <c r="CN48" s="63" t="s">
        <v>5</v>
      </c>
      <c r="CO48" s="63">
        <v>0</v>
      </c>
      <c r="CP48" s="63">
        <f t="shared" si="23"/>
        <v>1773.04</v>
      </c>
      <c r="CQ48" s="63">
        <f t="shared" si="24"/>
        <v>1773.0439999999999</v>
      </c>
      <c r="CR48" s="63">
        <f t="shared" si="25"/>
        <v>0</v>
      </c>
      <c r="CS48" s="63">
        <f t="shared" si="26"/>
        <v>0</v>
      </c>
      <c r="CT48" s="63">
        <f t="shared" si="27"/>
        <v>0</v>
      </c>
      <c r="CU48" s="63">
        <f t="shared" si="28"/>
        <v>0</v>
      </c>
      <c r="CV48" s="63">
        <f t="shared" si="29"/>
        <v>0</v>
      </c>
      <c r="CW48" s="63">
        <f t="shared" si="30"/>
        <v>0</v>
      </c>
      <c r="CX48" s="63">
        <f t="shared" si="31"/>
        <v>0</v>
      </c>
      <c r="CY48" s="63">
        <f t="shared" si="32"/>
        <v>0</v>
      </c>
      <c r="CZ48" s="63">
        <f t="shared" si="33"/>
        <v>0</v>
      </c>
      <c r="DC48" s="63" t="s">
        <v>5</v>
      </c>
      <c r="DD48" s="63" t="s">
        <v>5</v>
      </c>
      <c r="DE48" s="63" t="s">
        <v>22</v>
      </c>
      <c r="DF48" s="63" t="s">
        <v>22</v>
      </c>
      <c r="DG48" s="63" t="s">
        <v>23</v>
      </c>
      <c r="DH48" s="63" t="s">
        <v>5</v>
      </c>
      <c r="DI48" s="63" t="s">
        <v>5</v>
      </c>
      <c r="DJ48" s="63" t="s">
        <v>5</v>
      </c>
      <c r="DK48" s="63" t="s">
        <v>5</v>
      </c>
      <c r="DN48" s="63">
        <v>0</v>
      </c>
      <c r="DO48" s="63">
        <v>0</v>
      </c>
      <c r="DP48" s="63">
        <v>1</v>
      </c>
      <c r="DQ48" s="63">
        <v>1</v>
      </c>
      <c r="DR48" s="63">
        <v>1</v>
      </c>
      <c r="DS48" s="63">
        <v>1</v>
      </c>
      <c r="DT48" s="63">
        <v>1</v>
      </c>
      <c r="DU48" s="63">
        <v>1013</v>
      </c>
      <c r="DV48" s="63" t="s">
        <v>57</v>
      </c>
      <c r="DW48" s="63" t="s">
        <v>57</v>
      </c>
      <c r="DX48" s="63">
        <v>1</v>
      </c>
      <c r="EE48" s="63">
        <v>6294917</v>
      </c>
      <c r="EF48" s="63">
        <v>2</v>
      </c>
      <c r="EG48" s="63" t="s">
        <v>25</v>
      </c>
      <c r="EH48" s="63">
        <v>0</v>
      </c>
      <c r="EI48" s="63" t="s">
        <v>5</v>
      </c>
      <c r="EJ48" s="63">
        <v>1</v>
      </c>
      <c r="EK48" s="63">
        <v>25</v>
      </c>
      <c r="EL48" s="63" t="s">
        <v>26</v>
      </c>
      <c r="EM48" s="63" t="s">
        <v>27</v>
      </c>
      <c r="EN48" s="63" t="s">
        <v>5</v>
      </c>
      <c r="ET48" s="63">
        <v>46859.02</v>
      </c>
    </row>
    <row r="49" ht="12.75">
      <c r="AB49" s="62"/>
    </row>
    <row r="50" spans="1:39" ht="12.75">
      <c r="A50" s="2">
        <v>51</v>
      </c>
      <c r="B50" s="2">
        <f>B24</f>
        <v>1</v>
      </c>
      <c r="C50" s="2">
        <f>A24</f>
        <v>4</v>
      </c>
      <c r="D50" s="2">
        <f>ROW(A24)</f>
        <v>24</v>
      </c>
      <c r="E50" s="2"/>
      <c r="F50" s="2" t="str">
        <f>IF(F24&lt;&gt;"",F24,"")</f>
        <v>Сантехнические работы</v>
      </c>
      <c r="G50" s="2" t="str">
        <f>IF(G24&lt;&gt;"",G24,"")</f>
        <v>Сантехнические работы</v>
      </c>
      <c r="H50" s="2"/>
      <c r="I50" s="2"/>
      <c r="J50" s="2"/>
      <c r="K50" s="2"/>
      <c r="L50" s="2"/>
      <c r="M50" s="2"/>
      <c r="N50" s="2"/>
      <c r="O50" s="2">
        <f aca="true" t="shared" si="34" ref="O50:Y50">ROUND(AB50,2)</f>
        <v>12280.78</v>
      </c>
      <c r="P50" s="2">
        <f t="shared" si="34"/>
        <v>11705.38</v>
      </c>
      <c r="Q50" s="2">
        <f t="shared" si="34"/>
        <v>63.8</v>
      </c>
      <c r="R50" s="2">
        <f t="shared" si="34"/>
        <v>7.68</v>
      </c>
      <c r="S50" s="2">
        <f t="shared" si="34"/>
        <v>511.6</v>
      </c>
      <c r="T50" s="2">
        <f t="shared" si="34"/>
        <v>0</v>
      </c>
      <c r="U50" s="2">
        <f t="shared" si="34"/>
        <v>45</v>
      </c>
      <c r="V50" s="2">
        <f t="shared" si="34"/>
        <v>0.52</v>
      </c>
      <c r="W50" s="2">
        <f t="shared" si="34"/>
        <v>0</v>
      </c>
      <c r="X50" s="2">
        <f t="shared" si="34"/>
        <v>664.69</v>
      </c>
      <c r="Y50" s="2">
        <f t="shared" si="34"/>
        <v>431.01</v>
      </c>
      <c r="Z50" s="2"/>
      <c r="AA50" s="2"/>
      <c r="AB50" s="2">
        <f>ROUND(SUMIF(AA28:AA48,"=0",O28:O48),2)</f>
        <v>12280.78</v>
      </c>
      <c r="AC50" s="2">
        <f>ROUND(SUMIF(AA28:AA48,"=0",P28:P48),2)</f>
        <v>11705.38</v>
      </c>
      <c r="AD50" s="2">
        <f>ROUND(SUMIF(AA28:AA48,"=0",Q28:Q48),2)</f>
        <v>63.8</v>
      </c>
      <c r="AE50" s="2">
        <f>ROUND(SUMIF(AA28:AA48,"=0",R28:R48),2)</f>
        <v>7.68</v>
      </c>
      <c r="AF50" s="2">
        <f>ROUND(SUMIF(AA28:AA48,"=0",S28:S48),2)</f>
        <v>511.6</v>
      </c>
      <c r="AG50" s="2">
        <f>ROUND(SUMIF(AA28:AA48,"=0",T28:T48),2)</f>
        <v>0</v>
      </c>
      <c r="AH50" s="2">
        <f>ROUND(SUMIF(AA28:AA48,"=0",U28:U48),2)</f>
        <v>45</v>
      </c>
      <c r="AI50" s="2">
        <f>ROUND(SUMIF(AA28:AA48,"=0",V28:V48),2)</f>
        <v>0.52</v>
      </c>
      <c r="AJ50" s="2">
        <f>ROUND(SUMIF(AA28:AA48,"=0",W28:W48),2)</f>
        <v>0</v>
      </c>
      <c r="AK50" s="2">
        <f>ROUND(SUMIF(AA28:AA48,"=0",X28:X48),2)</f>
        <v>664.69</v>
      </c>
      <c r="AL50" s="2">
        <f>ROUND(SUMIF(AA28:AA48,"=0",Y28:Y48),2)</f>
        <v>431.01</v>
      </c>
      <c r="AM50" s="2">
        <v>0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1</v>
      </c>
      <c r="E52" s="3">
        <v>201</v>
      </c>
      <c r="F52" s="3">
        <f>Source!O50</f>
        <v>12280.78</v>
      </c>
      <c r="G52" s="3" t="s">
        <v>105</v>
      </c>
      <c r="H52" s="3" t="s">
        <v>106</v>
      </c>
      <c r="I52" s="3"/>
      <c r="J52" s="3"/>
      <c r="K52" s="3">
        <v>201</v>
      </c>
      <c r="L52" s="3">
        <v>1</v>
      </c>
      <c r="M52" s="3">
        <v>1</v>
      </c>
      <c r="N52" s="3" t="s">
        <v>5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1</v>
      </c>
      <c r="E53" s="3">
        <v>202</v>
      </c>
      <c r="F53" s="3">
        <f>Source!P50</f>
        <v>11705.38</v>
      </c>
      <c r="G53" s="3" t="s">
        <v>107</v>
      </c>
      <c r="H53" s="3" t="s">
        <v>108</v>
      </c>
      <c r="I53" s="3"/>
      <c r="J53" s="3"/>
      <c r="K53" s="3">
        <v>202</v>
      </c>
      <c r="L53" s="3">
        <v>2</v>
      </c>
      <c r="M53" s="3">
        <v>1</v>
      </c>
      <c r="N53" s="3" t="s">
        <v>5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1</v>
      </c>
      <c r="E54" s="3">
        <v>203</v>
      </c>
      <c r="F54" s="3">
        <f>Source!Q50</f>
        <v>63.8</v>
      </c>
      <c r="G54" s="3" t="s">
        <v>109</v>
      </c>
      <c r="H54" s="3" t="s">
        <v>110</v>
      </c>
      <c r="I54" s="3"/>
      <c r="J54" s="3"/>
      <c r="K54" s="3">
        <v>203</v>
      </c>
      <c r="L54" s="3">
        <v>3</v>
      </c>
      <c r="M54" s="3">
        <v>1</v>
      </c>
      <c r="N54" s="3" t="s">
        <v>5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1</v>
      </c>
      <c r="E55" s="3">
        <v>204</v>
      </c>
      <c r="F55" s="3">
        <f>Source!R50</f>
        <v>7.68</v>
      </c>
      <c r="G55" s="3" t="s">
        <v>111</v>
      </c>
      <c r="H55" s="3" t="s">
        <v>112</v>
      </c>
      <c r="I55" s="3"/>
      <c r="J55" s="3"/>
      <c r="K55" s="3">
        <v>204</v>
      </c>
      <c r="L55" s="3">
        <v>4</v>
      </c>
      <c r="M55" s="3">
        <v>1</v>
      </c>
      <c r="N55" s="3" t="s">
        <v>5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1</v>
      </c>
      <c r="E56" s="3">
        <v>205</v>
      </c>
      <c r="F56" s="3">
        <f>Source!S50</f>
        <v>511.6</v>
      </c>
      <c r="G56" s="3" t="s">
        <v>113</v>
      </c>
      <c r="H56" s="3" t="s">
        <v>114</v>
      </c>
      <c r="I56" s="3"/>
      <c r="J56" s="3"/>
      <c r="K56" s="3">
        <v>205</v>
      </c>
      <c r="L56" s="3">
        <v>5</v>
      </c>
      <c r="M56" s="3">
        <v>1</v>
      </c>
      <c r="N56" s="3" t="s">
        <v>5</v>
      </c>
    </row>
    <row r="57" spans="1:14" ht="12.75">
      <c r="A57" s="3">
        <v>50</v>
      </c>
      <c r="B57" s="3">
        <f>IF(Source!F57&lt;&gt;0,1,0)</f>
        <v>0</v>
      </c>
      <c r="C57" s="3">
        <v>0</v>
      </c>
      <c r="D57" s="3">
        <v>1</v>
      </c>
      <c r="E57" s="3">
        <v>206</v>
      </c>
      <c r="F57" s="3">
        <f>Source!T50</f>
        <v>0</v>
      </c>
      <c r="G57" s="3" t="s">
        <v>115</v>
      </c>
      <c r="H57" s="3" t="s">
        <v>116</v>
      </c>
      <c r="I57" s="3"/>
      <c r="J57" s="3"/>
      <c r="K57" s="3">
        <v>206</v>
      </c>
      <c r="L57" s="3">
        <v>6</v>
      </c>
      <c r="M57" s="3">
        <v>1</v>
      </c>
      <c r="N57" s="3" t="s">
        <v>5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1</v>
      </c>
      <c r="E58" s="3">
        <v>207</v>
      </c>
      <c r="F58" s="3">
        <f>Source!U50</f>
        <v>45</v>
      </c>
      <c r="G58" s="3" t="s">
        <v>117</v>
      </c>
      <c r="H58" s="3" t="s">
        <v>118</v>
      </c>
      <c r="I58" s="3"/>
      <c r="J58" s="3"/>
      <c r="K58" s="3">
        <v>207</v>
      </c>
      <c r="L58" s="3">
        <v>7</v>
      </c>
      <c r="M58" s="3">
        <v>1</v>
      </c>
      <c r="N58" s="3" t="s">
        <v>5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1</v>
      </c>
      <c r="E59" s="3">
        <v>208</v>
      </c>
      <c r="F59" s="3">
        <f>Source!V50</f>
        <v>0.52</v>
      </c>
      <c r="G59" s="3" t="s">
        <v>119</v>
      </c>
      <c r="H59" s="3" t="s">
        <v>120</v>
      </c>
      <c r="I59" s="3"/>
      <c r="J59" s="3"/>
      <c r="K59" s="3">
        <v>208</v>
      </c>
      <c r="L59" s="3">
        <v>8</v>
      </c>
      <c r="M59" s="3">
        <v>1</v>
      </c>
      <c r="N59" s="3" t="s">
        <v>5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1</v>
      </c>
      <c r="E60" s="3">
        <v>209</v>
      </c>
      <c r="F60" s="3">
        <f>Source!W50</f>
        <v>0</v>
      </c>
      <c r="G60" s="3" t="s">
        <v>121</v>
      </c>
      <c r="H60" s="3" t="s">
        <v>122</v>
      </c>
      <c r="I60" s="3"/>
      <c r="J60" s="3"/>
      <c r="K60" s="3">
        <v>209</v>
      </c>
      <c r="L60" s="3">
        <v>9</v>
      </c>
      <c r="M60" s="3">
        <v>1</v>
      </c>
      <c r="N60" s="3" t="s">
        <v>5</v>
      </c>
    </row>
    <row r="61" spans="1:14" ht="12.75">
      <c r="A61" s="3">
        <v>50</v>
      </c>
      <c r="B61" s="3">
        <f>IF(Source!F61&lt;&gt;0,1,0)</f>
        <v>1</v>
      </c>
      <c r="C61" s="3">
        <v>0</v>
      </c>
      <c r="D61" s="3">
        <v>1</v>
      </c>
      <c r="E61" s="3">
        <v>210</v>
      </c>
      <c r="F61" s="3">
        <f>Source!X50</f>
        <v>664.69</v>
      </c>
      <c r="G61" s="3" t="s">
        <v>123</v>
      </c>
      <c r="H61" s="3" t="s">
        <v>124</v>
      </c>
      <c r="I61" s="3"/>
      <c r="J61" s="3"/>
      <c r="K61" s="3">
        <v>210</v>
      </c>
      <c r="L61" s="3">
        <v>10</v>
      </c>
      <c r="M61" s="3">
        <v>1</v>
      </c>
      <c r="N61" s="3" t="s">
        <v>5</v>
      </c>
    </row>
    <row r="62" spans="1:14" ht="12.75">
      <c r="A62" s="3">
        <v>50</v>
      </c>
      <c r="B62" s="3">
        <v>1</v>
      </c>
      <c r="C62" s="3">
        <v>0</v>
      </c>
      <c r="D62" s="3">
        <v>1</v>
      </c>
      <c r="E62" s="3">
        <v>211</v>
      </c>
      <c r="F62" s="3">
        <f>Source!Y50</f>
        <v>431.01</v>
      </c>
      <c r="G62" s="3" t="s">
        <v>125</v>
      </c>
      <c r="H62" s="3" t="s">
        <v>126</v>
      </c>
      <c r="I62" s="3"/>
      <c r="J62" s="3"/>
      <c r="K62" s="3">
        <v>211</v>
      </c>
      <c r="L62" s="3">
        <v>11</v>
      </c>
      <c r="M62" s="3">
        <v>0</v>
      </c>
      <c r="N62" s="3" t="s">
        <v>5</v>
      </c>
    </row>
    <row r="63" ht="12.75">
      <c r="G63">
        <v>0</v>
      </c>
    </row>
    <row r="64" spans="1:59" ht="12.75">
      <c r="A64" s="1">
        <v>4</v>
      </c>
      <c r="B64" s="1">
        <v>1</v>
      </c>
      <c r="C64" s="1"/>
      <c r="D64" s="1">
        <f>ROW(A71)</f>
        <v>71</v>
      </c>
      <c r="E64" s="1"/>
      <c r="F64" s="1" t="s">
        <v>127</v>
      </c>
      <c r="G64" s="1" t="s">
        <v>127</v>
      </c>
      <c r="H64" s="1"/>
      <c r="I64" s="1"/>
      <c r="J64" s="1"/>
      <c r="K64" s="1"/>
      <c r="L64" s="1"/>
      <c r="M64" s="1"/>
      <c r="N64" s="1" t="s">
        <v>5</v>
      </c>
      <c r="O64" s="1"/>
      <c r="P64" s="1"/>
      <c r="Q64" s="1"/>
      <c r="R64" s="1" t="s">
        <v>5</v>
      </c>
      <c r="S64" s="1" t="s">
        <v>5</v>
      </c>
      <c r="T64" s="1" t="s">
        <v>5</v>
      </c>
      <c r="U64" s="1" t="s">
        <v>5</v>
      </c>
      <c r="V64" s="1"/>
      <c r="W64" s="1"/>
      <c r="X64" s="1">
        <v>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0</v>
      </c>
      <c r="AM64" s="1"/>
      <c r="BE64" t="s">
        <v>128</v>
      </c>
      <c r="BF64">
        <v>0</v>
      </c>
      <c r="BG64">
        <v>0</v>
      </c>
    </row>
    <row r="66" spans="1:39" ht="12.75">
      <c r="A66" s="2">
        <v>52</v>
      </c>
      <c r="B66" s="2">
        <f aca="true" t="shared" si="35" ref="B66:AM66">B71</f>
        <v>1</v>
      </c>
      <c r="C66" s="2">
        <f t="shared" si="35"/>
        <v>4</v>
      </c>
      <c r="D66" s="2">
        <f t="shared" si="35"/>
        <v>64</v>
      </c>
      <c r="E66" s="2">
        <f t="shared" si="35"/>
        <v>0</v>
      </c>
      <c r="F66" s="2" t="str">
        <f t="shared" si="35"/>
        <v>Строительные работы</v>
      </c>
      <c r="G66" s="2" t="str">
        <f t="shared" si="35"/>
        <v>Строительные работы</v>
      </c>
      <c r="H66" s="2">
        <f t="shared" si="35"/>
        <v>0</v>
      </c>
      <c r="I66" s="2">
        <f t="shared" si="35"/>
        <v>0</v>
      </c>
      <c r="J66" s="2">
        <f t="shared" si="35"/>
        <v>0</v>
      </c>
      <c r="K66" s="2">
        <f t="shared" si="35"/>
        <v>0</v>
      </c>
      <c r="L66" s="2">
        <f t="shared" si="35"/>
        <v>0</v>
      </c>
      <c r="M66" s="2">
        <f t="shared" si="35"/>
        <v>0</v>
      </c>
      <c r="N66" s="2">
        <f t="shared" si="35"/>
        <v>0</v>
      </c>
      <c r="O66" s="2">
        <f t="shared" si="35"/>
        <v>93.19</v>
      </c>
      <c r="P66" s="2">
        <f t="shared" si="35"/>
        <v>50.82</v>
      </c>
      <c r="Q66" s="2">
        <f t="shared" si="35"/>
        <v>0.17</v>
      </c>
      <c r="R66" s="2">
        <f t="shared" si="35"/>
        <v>0.03</v>
      </c>
      <c r="S66" s="2">
        <f t="shared" si="35"/>
        <v>42.2</v>
      </c>
      <c r="T66" s="2">
        <f t="shared" si="35"/>
        <v>0</v>
      </c>
      <c r="U66" s="2">
        <f t="shared" si="35"/>
        <v>4.16</v>
      </c>
      <c r="V66" s="2">
        <f t="shared" si="35"/>
        <v>0</v>
      </c>
      <c r="W66" s="2">
        <f t="shared" si="35"/>
        <v>0</v>
      </c>
      <c r="X66" s="2">
        <f t="shared" si="35"/>
        <v>44.34</v>
      </c>
      <c r="Y66" s="2">
        <f t="shared" si="35"/>
        <v>23.22</v>
      </c>
      <c r="Z66" s="2">
        <f t="shared" si="35"/>
        <v>0</v>
      </c>
      <c r="AA66" s="2">
        <f t="shared" si="35"/>
        <v>0</v>
      </c>
      <c r="AB66" s="2">
        <f t="shared" si="35"/>
        <v>93.19</v>
      </c>
      <c r="AC66" s="2">
        <f t="shared" si="35"/>
        <v>50.82</v>
      </c>
      <c r="AD66" s="2">
        <f t="shared" si="35"/>
        <v>0.17</v>
      </c>
      <c r="AE66" s="2">
        <f t="shared" si="35"/>
        <v>0.03</v>
      </c>
      <c r="AF66" s="2">
        <f t="shared" si="35"/>
        <v>42.2</v>
      </c>
      <c r="AG66" s="2">
        <f t="shared" si="35"/>
        <v>0</v>
      </c>
      <c r="AH66" s="2">
        <f t="shared" si="35"/>
        <v>4.16</v>
      </c>
      <c r="AI66" s="2">
        <f t="shared" si="35"/>
        <v>0</v>
      </c>
      <c r="AJ66" s="2">
        <f t="shared" si="35"/>
        <v>0</v>
      </c>
      <c r="AK66" s="2">
        <f t="shared" si="35"/>
        <v>44.34</v>
      </c>
      <c r="AL66" s="2">
        <f t="shared" si="35"/>
        <v>23.22</v>
      </c>
      <c r="AM66" s="2">
        <f t="shared" si="35"/>
        <v>0</v>
      </c>
    </row>
    <row r="68" spans="1:150" ht="12.75">
      <c r="A68">
        <v>17</v>
      </c>
      <c r="B68">
        <v>1</v>
      </c>
      <c r="C68">
        <f>ROW(SmtRes!A168)</f>
        <v>168</v>
      </c>
      <c r="E68" t="s">
        <v>17</v>
      </c>
      <c r="F68" t="s">
        <v>129</v>
      </c>
      <c r="G68" t="s">
        <v>130</v>
      </c>
      <c r="H68" t="s">
        <v>131</v>
      </c>
      <c r="I68">
        <v>0.043</v>
      </c>
      <c r="J68">
        <v>0</v>
      </c>
      <c r="O68">
        <f>ROUND(CP68,2)</f>
        <v>62.38</v>
      </c>
      <c r="P68">
        <f>ROUND(CQ68*I68,2)</f>
        <v>31.22</v>
      </c>
      <c r="Q68">
        <f>ROUND(CR68*I68,2)</f>
        <v>0.1</v>
      </c>
      <c r="R68">
        <f>ROUND(CS68*I68,2)</f>
        <v>0.02</v>
      </c>
      <c r="S68">
        <f>ROUND(CT68*I68,2)</f>
        <v>31.06</v>
      </c>
      <c r="T68">
        <f>ROUND(CU68*I68,2)</f>
        <v>0</v>
      </c>
      <c r="U68">
        <f>ROUND(CV68*I68,2)</f>
        <v>3.06</v>
      </c>
      <c r="V68">
        <f>ROUND(CW68*I68,2)</f>
        <v>0</v>
      </c>
      <c r="W68">
        <f>ROUND(CX68*I68,2)</f>
        <v>0</v>
      </c>
      <c r="X68">
        <f>ROUND(CY68,2)</f>
        <v>32.63</v>
      </c>
      <c r="Y68">
        <f>ROUND(CZ68,2)</f>
        <v>17.09</v>
      </c>
      <c r="AA68">
        <v>0</v>
      </c>
      <c r="AB68">
        <f>(AC68+AD68+AF68)</f>
        <v>1450.831</v>
      </c>
      <c r="AC68">
        <f>AL68</f>
        <v>725.998</v>
      </c>
      <c r="AD68">
        <f>(AM68*1.25)</f>
        <v>2.4375</v>
      </c>
      <c r="AE68">
        <f>(AN68*1.25)</f>
        <v>0.5125</v>
      </c>
      <c r="AF68">
        <f>(AO68*1.15)</f>
        <v>722.3954999999999</v>
      </c>
      <c r="AG68">
        <f aca="true" t="shared" si="36" ref="AG68:AJ69">AP68</f>
        <v>0</v>
      </c>
      <c r="AH68">
        <f t="shared" si="36"/>
        <v>71.06</v>
      </c>
      <c r="AI68">
        <f t="shared" si="36"/>
        <v>0.04</v>
      </c>
      <c r="AJ68">
        <f t="shared" si="36"/>
        <v>0</v>
      </c>
      <c r="AK68">
        <v>1148.69</v>
      </c>
      <c r="AL68" s="1">
        <f>518.57*($AL$23)</f>
        <v>725.998</v>
      </c>
      <c r="AM68">
        <v>1.95</v>
      </c>
      <c r="AN68">
        <v>0.41</v>
      </c>
      <c r="AO68">
        <v>628.17</v>
      </c>
      <c r="AP68">
        <v>0</v>
      </c>
      <c r="AQ68">
        <v>71.06</v>
      </c>
      <c r="AR68">
        <v>0.04</v>
      </c>
      <c r="AS68">
        <v>0</v>
      </c>
      <c r="AT68">
        <v>105</v>
      </c>
      <c r="AU68">
        <v>55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132</v>
      </c>
      <c r="BM68">
        <v>24</v>
      </c>
      <c r="BN68">
        <v>0</v>
      </c>
      <c r="BO68" t="s">
        <v>129</v>
      </c>
      <c r="BP68">
        <v>1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CF68">
        <v>0</v>
      </c>
      <c r="CG68">
        <v>0</v>
      </c>
      <c r="CM68">
        <v>0</v>
      </c>
      <c r="CO68">
        <v>0</v>
      </c>
      <c r="CP68">
        <f>(P68+Q68+S68)</f>
        <v>62.379999999999995</v>
      </c>
      <c r="CQ68">
        <f>(AC68)*BC68</f>
        <v>725.998</v>
      </c>
      <c r="CR68">
        <f>(AD68)*BB68</f>
        <v>2.4375</v>
      </c>
      <c r="CS68">
        <f>(AE68)*BS68</f>
        <v>0.5125</v>
      </c>
      <c r="CT68">
        <f>(AF68)*BA68</f>
        <v>722.3954999999999</v>
      </c>
      <c r="CU68">
        <f aca="true" t="shared" si="37" ref="CU68:CX69">(AG68)*BT68</f>
        <v>0</v>
      </c>
      <c r="CV68">
        <f t="shared" si="37"/>
        <v>71.06</v>
      </c>
      <c r="CW68">
        <f t="shared" si="37"/>
        <v>0.04</v>
      </c>
      <c r="CX68">
        <f t="shared" si="37"/>
        <v>0</v>
      </c>
      <c r="CY68">
        <f>(((S68+R68)*AT68)/100)</f>
        <v>32.63399999999999</v>
      </c>
      <c r="CZ68">
        <f>(((S68+R68)*AU68)/100)</f>
        <v>17.093999999999998</v>
      </c>
      <c r="DE68" t="s">
        <v>22</v>
      </c>
      <c r="DF68" t="s">
        <v>22</v>
      </c>
      <c r="DG68" t="s">
        <v>23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1005</v>
      </c>
      <c r="DV68" t="s">
        <v>131</v>
      </c>
      <c r="DW68" t="s">
        <v>133</v>
      </c>
      <c r="DX68">
        <v>100</v>
      </c>
      <c r="EE68">
        <v>6294916</v>
      </c>
      <c r="EF68">
        <v>2</v>
      </c>
      <c r="EG68" t="s">
        <v>25</v>
      </c>
      <c r="EH68">
        <v>0</v>
      </c>
      <c r="EJ68">
        <v>1</v>
      </c>
      <c r="EK68">
        <v>24</v>
      </c>
      <c r="EL68" t="s">
        <v>134</v>
      </c>
      <c r="EM68" t="s">
        <v>135</v>
      </c>
      <c r="ET68">
        <v>1978.02</v>
      </c>
    </row>
    <row r="69" spans="1:150" ht="12.75">
      <c r="A69">
        <v>17</v>
      </c>
      <c r="B69">
        <v>1</v>
      </c>
      <c r="C69">
        <f>ROW(SmtRes!A175)</f>
        <v>175</v>
      </c>
      <c r="E69" t="s">
        <v>28</v>
      </c>
      <c r="F69" t="s">
        <v>136</v>
      </c>
      <c r="G69" t="s">
        <v>137</v>
      </c>
      <c r="H69" t="s">
        <v>131</v>
      </c>
      <c r="I69">
        <v>0.027</v>
      </c>
      <c r="J69">
        <v>0</v>
      </c>
      <c r="O69">
        <f>ROUND(CP69,2)</f>
        <v>30.81</v>
      </c>
      <c r="P69">
        <f>ROUND(CQ69*I69,2)</f>
        <v>19.6</v>
      </c>
      <c r="Q69">
        <f>ROUND(CR69*I69,2)</f>
        <v>0.07</v>
      </c>
      <c r="R69">
        <f>ROUND(CS69*I69,2)</f>
        <v>0.01</v>
      </c>
      <c r="S69">
        <f>ROUND(CT69*I69,2)</f>
        <v>11.14</v>
      </c>
      <c r="T69">
        <f>ROUND(CU69*I69,2)</f>
        <v>0</v>
      </c>
      <c r="U69">
        <f>ROUND(CV69*I69,2)</f>
        <v>1.1</v>
      </c>
      <c r="V69">
        <f>ROUND(CW69*I69,2)</f>
        <v>0</v>
      </c>
      <c r="W69">
        <f>ROUND(CX69*I69,2)</f>
        <v>0</v>
      </c>
      <c r="X69">
        <f>ROUND(CY69,2)</f>
        <v>11.71</v>
      </c>
      <c r="Y69">
        <f>ROUND(CZ69,2)</f>
        <v>6.13</v>
      </c>
      <c r="AA69">
        <v>0</v>
      </c>
      <c r="AB69">
        <f>(AC69+AD69+AF69)</f>
        <v>1141.0785</v>
      </c>
      <c r="AC69">
        <f>AL69</f>
        <v>725.998</v>
      </c>
      <c r="AD69">
        <f>(AM69*1.25)</f>
        <v>2.4375</v>
      </c>
      <c r="AE69">
        <f>(AN69*1.25)</f>
        <v>0.5125</v>
      </c>
      <c r="AF69">
        <f>(AO69*1.15)</f>
        <v>412.643</v>
      </c>
      <c r="AG69">
        <f t="shared" si="36"/>
        <v>0</v>
      </c>
      <c r="AH69">
        <f t="shared" si="36"/>
        <v>40.59</v>
      </c>
      <c r="AI69">
        <f t="shared" si="36"/>
        <v>0.04</v>
      </c>
      <c r="AJ69">
        <f t="shared" si="36"/>
        <v>0</v>
      </c>
      <c r="AK69">
        <v>879.34</v>
      </c>
      <c r="AL69" s="1">
        <f>518.57*($AL$23)</f>
        <v>725.998</v>
      </c>
      <c r="AM69">
        <v>1.95</v>
      </c>
      <c r="AN69">
        <v>0.41</v>
      </c>
      <c r="AO69">
        <v>358.82</v>
      </c>
      <c r="AP69">
        <v>0</v>
      </c>
      <c r="AQ69">
        <v>40.59</v>
      </c>
      <c r="AR69">
        <v>0.04</v>
      </c>
      <c r="AS69">
        <v>0</v>
      </c>
      <c r="AT69">
        <v>105</v>
      </c>
      <c r="AU69">
        <v>55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0</v>
      </c>
      <c r="BI69">
        <v>1</v>
      </c>
      <c r="BJ69" t="s">
        <v>138</v>
      </c>
      <c r="BM69">
        <v>24</v>
      </c>
      <c r="BN69">
        <v>0</v>
      </c>
      <c r="BO69" t="s">
        <v>136</v>
      </c>
      <c r="BP69">
        <v>1</v>
      </c>
      <c r="BQ69">
        <v>2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CF69">
        <v>0</v>
      </c>
      <c r="CG69">
        <v>0</v>
      </c>
      <c r="CM69">
        <v>0</v>
      </c>
      <c r="CO69">
        <v>0</v>
      </c>
      <c r="CP69">
        <f>(P69+Q69+S69)</f>
        <v>30.810000000000002</v>
      </c>
      <c r="CQ69">
        <f>(AC69)*BC69</f>
        <v>725.998</v>
      </c>
      <c r="CR69">
        <f>(AD69)*BB69</f>
        <v>2.4375</v>
      </c>
      <c r="CS69">
        <f>(AE69)*BS69</f>
        <v>0.5125</v>
      </c>
      <c r="CT69">
        <f>(AF69)*BA69</f>
        <v>412.643</v>
      </c>
      <c r="CU69">
        <f t="shared" si="37"/>
        <v>0</v>
      </c>
      <c r="CV69">
        <f t="shared" si="37"/>
        <v>40.59</v>
      </c>
      <c r="CW69">
        <f t="shared" si="37"/>
        <v>0.04</v>
      </c>
      <c r="CX69">
        <f t="shared" si="37"/>
        <v>0</v>
      </c>
      <c r="CY69">
        <f>(((S69+R69)*AT69)/100)</f>
        <v>11.7075</v>
      </c>
      <c r="CZ69">
        <f>(((S69+R69)*AU69)/100)</f>
        <v>6.1325</v>
      </c>
      <c r="DE69" t="s">
        <v>22</v>
      </c>
      <c r="DF69" t="s">
        <v>22</v>
      </c>
      <c r="DG69" t="s">
        <v>23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1005</v>
      </c>
      <c r="DV69" t="s">
        <v>131</v>
      </c>
      <c r="DW69" t="s">
        <v>133</v>
      </c>
      <c r="DX69">
        <v>100</v>
      </c>
      <c r="EE69">
        <v>6294916</v>
      </c>
      <c r="EF69">
        <v>2</v>
      </c>
      <c r="EG69" t="s">
        <v>25</v>
      </c>
      <c r="EH69">
        <v>0</v>
      </c>
      <c r="EJ69">
        <v>1</v>
      </c>
      <c r="EK69">
        <v>24</v>
      </c>
      <c r="EL69" t="s">
        <v>134</v>
      </c>
      <c r="EM69" t="s">
        <v>135</v>
      </c>
      <c r="ET69">
        <v>932.77</v>
      </c>
    </row>
    <row r="71" spans="1:39" ht="12.75">
      <c r="A71" s="2">
        <v>51</v>
      </c>
      <c r="B71" s="2">
        <f>B64</f>
        <v>1</v>
      </c>
      <c r="C71" s="2">
        <f>A64</f>
        <v>4</v>
      </c>
      <c r="D71" s="2">
        <f>ROW(A64)</f>
        <v>64</v>
      </c>
      <c r="E71" s="2"/>
      <c r="F71" s="2" t="str">
        <f>IF(F64&lt;&gt;"",F64,"")</f>
        <v>Строительные работы</v>
      </c>
      <c r="G71" s="2" t="str">
        <f>IF(G64&lt;&gt;"",G64,"")</f>
        <v>Строительные работы</v>
      </c>
      <c r="H71" s="2"/>
      <c r="I71" s="2"/>
      <c r="J71" s="2"/>
      <c r="K71" s="2"/>
      <c r="L71" s="2"/>
      <c r="M71" s="2"/>
      <c r="N71" s="2"/>
      <c r="O71" s="2">
        <f aca="true" t="shared" si="38" ref="O71:Y71">ROUND(AB71,2)</f>
        <v>93.19</v>
      </c>
      <c r="P71" s="2">
        <f t="shared" si="38"/>
        <v>50.82</v>
      </c>
      <c r="Q71" s="2">
        <f t="shared" si="38"/>
        <v>0.17</v>
      </c>
      <c r="R71" s="2">
        <f t="shared" si="38"/>
        <v>0.03</v>
      </c>
      <c r="S71" s="2">
        <f t="shared" si="38"/>
        <v>42.2</v>
      </c>
      <c r="T71" s="2">
        <f t="shared" si="38"/>
        <v>0</v>
      </c>
      <c r="U71" s="2">
        <f t="shared" si="38"/>
        <v>4.16</v>
      </c>
      <c r="V71" s="2">
        <f t="shared" si="38"/>
        <v>0</v>
      </c>
      <c r="W71" s="2">
        <f t="shared" si="38"/>
        <v>0</v>
      </c>
      <c r="X71" s="2">
        <f t="shared" si="38"/>
        <v>44.34</v>
      </c>
      <c r="Y71" s="2">
        <f t="shared" si="38"/>
        <v>23.22</v>
      </c>
      <c r="Z71" s="2"/>
      <c r="AA71" s="2"/>
      <c r="AB71" s="2">
        <f>ROUND(SUMIF(AA68:AA69,"=0",O68:O69),2)</f>
        <v>93.19</v>
      </c>
      <c r="AC71" s="2">
        <f>ROUND(SUMIF(AA68:AA69,"=0",P68:P69),2)</f>
        <v>50.82</v>
      </c>
      <c r="AD71" s="2">
        <f>ROUND(SUMIF(AA68:AA69,"=0",Q68:Q69),2)</f>
        <v>0.17</v>
      </c>
      <c r="AE71" s="2">
        <f>ROUND(SUMIF(AA68:AA69,"=0",R68:R69),2)</f>
        <v>0.03</v>
      </c>
      <c r="AF71" s="2">
        <f>ROUND(SUMIF(AA68:AA69,"=0",S68:S69),2)</f>
        <v>42.2</v>
      </c>
      <c r="AG71" s="2">
        <f>ROUND(SUMIF(AA68:AA69,"=0",T68:T69),2)</f>
        <v>0</v>
      </c>
      <c r="AH71" s="2">
        <f>ROUND(SUMIF(AA68:AA69,"=0",U68:U69),2)</f>
        <v>4.16</v>
      </c>
      <c r="AI71" s="2">
        <f>ROUND(SUMIF(AA68:AA69,"=0",V68:V69),2)</f>
        <v>0</v>
      </c>
      <c r="AJ71" s="2">
        <f>ROUND(SUMIF(AA68:AA69,"=0",W68:W69),2)</f>
        <v>0</v>
      </c>
      <c r="AK71" s="2">
        <f>ROUND(SUMIF(AA68:AA69,"=0",X68:X69),2)</f>
        <v>44.34</v>
      </c>
      <c r="AL71" s="2">
        <f>ROUND(SUMIF(AA68:AA69,"=0",Y68:Y69),2)</f>
        <v>23.22</v>
      </c>
      <c r="AM71" s="2">
        <v>0</v>
      </c>
    </row>
    <row r="73" spans="1:14" ht="12.75">
      <c r="A73" s="3">
        <v>50</v>
      </c>
      <c r="B73" s="3">
        <f>IF(Source!F73&lt;&gt;0,1,0)</f>
        <v>1</v>
      </c>
      <c r="C73" s="3">
        <v>0</v>
      </c>
      <c r="D73" s="3">
        <v>1</v>
      </c>
      <c r="E73" s="3">
        <v>201</v>
      </c>
      <c r="F73" s="3">
        <f>Source!O71</f>
        <v>93.19</v>
      </c>
      <c r="G73" s="3" t="s">
        <v>105</v>
      </c>
      <c r="H73" s="3" t="s">
        <v>106</v>
      </c>
      <c r="I73" s="3"/>
      <c r="J73" s="3"/>
      <c r="K73" s="3">
        <v>201</v>
      </c>
      <c r="L73" s="3">
        <v>1</v>
      </c>
      <c r="M73" s="3">
        <v>1</v>
      </c>
      <c r="N73" s="3" t="s">
        <v>5</v>
      </c>
    </row>
    <row r="74" spans="1:14" ht="12.75">
      <c r="A74" s="3">
        <v>50</v>
      </c>
      <c r="B74" s="3">
        <f>IF(Source!F74&lt;&gt;0,1,0)</f>
        <v>1</v>
      </c>
      <c r="C74" s="3">
        <v>0</v>
      </c>
      <c r="D74" s="3">
        <v>1</v>
      </c>
      <c r="E74" s="3">
        <v>202</v>
      </c>
      <c r="F74" s="3">
        <f>Source!P71</f>
        <v>50.82</v>
      </c>
      <c r="G74" s="3" t="s">
        <v>107</v>
      </c>
      <c r="H74" s="3" t="s">
        <v>108</v>
      </c>
      <c r="I74" s="3"/>
      <c r="J74" s="3"/>
      <c r="K74" s="3">
        <v>202</v>
      </c>
      <c r="L74" s="3">
        <v>2</v>
      </c>
      <c r="M74" s="3">
        <v>1</v>
      </c>
      <c r="N74" s="3" t="s">
        <v>5</v>
      </c>
    </row>
    <row r="75" spans="1:14" ht="12.75">
      <c r="A75" s="3">
        <v>50</v>
      </c>
      <c r="B75" s="3">
        <f>IF(Source!F75&lt;&gt;0,1,0)</f>
        <v>1</v>
      </c>
      <c r="C75" s="3">
        <v>0</v>
      </c>
      <c r="D75" s="3">
        <v>1</v>
      </c>
      <c r="E75" s="3">
        <v>203</v>
      </c>
      <c r="F75" s="3">
        <f>Source!Q71</f>
        <v>0.17</v>
      </c>
      <c r="G75" s="3" t="s">
        <v>109</v>
      </c>
      <c r="H75" s="3" t="s">
        <v>110</v>
      </c>
      <c r="I75" s="3"/>
      <c r="J75" s="3"/>
      <c r="K75" s="3">
        <v>203</v>
      </c>
      <c r="L75" s="3">
        <v>3</v>
      </c>
      <c r="M75" s="3">
        <v>1</v>
      </c>
      <c r="N75" s="3" t="s">
        <v>5</v>
      </c>
    </row>
    <row r="76" spans="1:14" ht="12.75">
      <c r="A76" s="3">
        <v>50</v>
      </c>
      <c r="B76" s="3">
        <f>IF(Source!F76&lt;&gt;0,1,0)</f>
        <v>1</v>
      </c>
      <c r="C76" s="3">
        <v>0</v>
      </c>
      <c r="D76" s="3">
        <v>1</v>
      </c>
      <c r="E76" s="3">
        <v>204</v>
      </c>
      <c r="F76" s="3">
        <f>Source!R71</f>
        <v>0.03</v>
      </c>
      <c r="G76" s="3" t="s">
        <v>111</v>
      </c>
      <c r="H76" s="3" t="s">
        <v>112</v>
      </c>
      <c r="I76" s="3"/>
      <c r="J76" s="3"/>
      <c r="K76" s="3">
        <v>204</v>
      </c>
      <c r="L76" s="3">
        <v>4</v>
      </c>
      <c r="M76" s="3">
        <v>1</v>
      </c>
      <c r="N76" s="3" t="s">
        <v>5</v>
      </c>
    </row>
    <row r="77" spans="1:14" ht="12.75">
      <c r="A77" s="3">
        <v>50</v>
      </c>
      <c r="B77" s="3">
        <f>IF(Source!F77&lt;&gt;0,1,0)</f>
        <v>1</v>
      </c>
      <c r="C77" s="3">
        <v>0</v>
      </c>
      <c r="D77" s="3">
        <v>1</v>
      </c>
      <c r="E77" s="3">
        <v>205</v>
      </c>
      <c r="F77" s="3">
        <f>Source!S71</f>
        <v>42.2</v>
      </c>
      <c r="G77" s="3" t="s">
        <v>113</v>
      </c>
      <c r="H77" s="3" t="s">
        <v>114</v>
      </c>
      <c r="I77" s="3"/>
      <c r="J77" s="3"/>
      <c r="K77" s="3">
        <v>205</v>
      </c>
      <c r="L77" s="3">
        <v>5</v>
      </c>
      <c r="M77" s="3">
        <v>1</v>
      </c>
      <c r="N77" s="3" t="s">
        <v>5</v>
      </c>
    </row>
    <row r="78" spans="1:14" ht="12.75">
      <c r="A78" s="3">
        <v>50</v>
      </c>
      <c r="B78" s="3">
        <f>IF(Source!F78&lt;&gt;0,1,0)</f>
        <v>0</v>
      </c>
      <c r="C78" s="3">
        <v>0</v>
      </c>
      <c r="D78" s="3">
        <v>1</v>
      </c>
      <c r="E78" s="3">
        <v>206</v>
      </c>
      <c r="F78" s="3">
        <f>Source!T71</f>
        <v>0</v>
      </c>
      <c r="G78" s="3" t="s">
        <v>115</v>
      </c>
      <c r="H78" s="3" t="s">
        <v>116</v>
      </c>
      <c r="I78" s="3"/>
      <c r="J78" s="3"/>
      <c r="K78" s="3">
        <v>206</v>
      </c>
      <c r="L78" s="3">
        <v>6</v>
      </c>
      <c r="M78" s="3">
        <v>1</v>
      </c>
      <c r="N78" s="3" t="s">
        <v>5</v>
      </c>
    </row>
    <row r="79" spans="1:14" ht="12.75">
      <c r="A79" s="3">
        <v>50</v>
      </c>
      <c r="B79" s="3">
        <f>IF(Source!F79&lt;&gt;0,1,0)</f>
        <v>1</v>
      </c>
      <c r="C79" s="3">
        <v>0</v>
      </c>
      <c r="D79" s="3">
        <v>1</v>
      </c>
      <c r="E79" s="3">
        <v>207</v>
      </c>
      <c r="F79" s="3">
        <f>Source!U71</f>
        <v>4.16</v>
      </c>
      <c r="G79" s="3" t="s">
        <v>117</v>
      </c>
      <c r="H79" s="3" t="s">
        <v>118</v>
      </c>
      <c r="I79" s="3"/>
      <c r="J79" s="3"/>
      <c r="K79" s="3">
        <v>207</v>
      </c>
      <c r="L79" s="3">
        <v>7</v>
      </c>
      <c r="M79" s="3">
        <v>1</v>
      </c>
      <c r="N79" s="3" t="s">
        <v>5</v>
      </c>
    </row>
    <row r="80" spans="1:14" ht="12.75">
      <c r="A80" s="3">
        <v>50</v>
      </c>
      <c r="B80" s="3">
        <f>IF(Source!F80&lt;&gt;0,1,0)</f>
        <v>0</v>
      </c>
      <c r="C80" s="3">
        <v>0</v>
      </c>
      <c r="D80" s="3">
        <v>1</v>
      </c>
      <c r="E80" s="3">
        <v>208</v>
      </c>
      <c r="F80" s="3">
        <f>Source!V71</f>
        <v>0</v>
      </c>
      <c r="G80" s="3" t="s">
        <v>119</v>
      </c>
      <c r="H80" s="3" t="s">
        <v>120</v>
      </c>
      <c r="I80" s="3"/>
      <c r="J80" s="3"/>
      <c r="K80" s="3">
        <v>208</v>
      </c>
      <c r="L80" s="3">
        <v>8</v>
      </c>
      <c r="M80" s="3">
        <v>1</v>
      </c>
      <c r="N80" s="3" t="s">
        <v>5</v>
      </c>
    </row>
    <row r="81" spans="1:14" ht="12.75">
      <c r="A81" s="3">
        <v>50</v>
      </c>
      <c r="B81" s="3">
        <f>IF(Source!F81&lt;&gt;0,1,0)</f>
        <v>0</v>
      </c>
      <c r="C81" s="3">
        <v>0</v>
      </c>
      <c r="D81" s="3">
        <v>1</v>
      </c>
      <c r="E81" s="3">
        <v>209</v>
      </c>
      <c r="F81" s="3">
        <f>Source!W71</f>
        <v>0</v>
      </c>
      <c r="G81" s="3" t="s">
        <v>121</v>
      </c>
      <c r="H81" s="3" t="s">
        <v>122</v>
      </c>
      <c r="I81" s="3"/>
      <c r="J81" s="3"/>
      <c r="K81" s="3">
        <v>209</v>
      </c>
      <c r="L81" s="3">
        <v>9</v>
      </c>
      <c r="M81" s="3">
        <v>1</v>
      </c>
      <c r="N81" s="3" t="s">
        <v>5</v>
      </c>
    </row>
    <row r="82" spans="1:14" ht="12.75">
      <c r="A82" s="3">
        <v>50</v>
      </c>
      <c r="B82" s="3">
        <f>IF(Source!F82&lt;&gt;0,1,0)</f>
        <v>1</v>
      </c>
      <c r="C82" s="3">
        <v>0</v>
      </c>
      <c r="D82" s="3">
        <v>1</v>
      </c>
      <c r="E82" s="3">
        <v>210</v>
      </c>
      <c r="F82" s="3">
        <f>Source!X71</f>
        <v>44.34</v>
      </c>
      <c r="G82" s="3" t="s">
        <v>123</v>
      </c>
      <c r="H82" s="3" t="s">
        <v>124</v>
      </c>
      <c r="I82" s="3"/>
      <c r="J82" s="3"/>
      <c r="K82" s="3">
        <v>210</v>
      </c>
      <c r="L82" s="3">
        <v>10</v>
      </c>
      <c r="M82" s="3">
        <v>1</v>
      </c>
      <c r="N82" s="3" t="s">
        <v>5</v>
      </c>
    </row>
    <row r="83" spans="1:14" ht="12.75">
      <c r="A83" s="3">
        <v>50</v>
      </c>
      <c r="B83" s="3">
        <v>1</v>
      </c>
      <c r="C83" s="3">
        <v>0</v>
      </c>
      <c r="D83" s="3">
        <v>1</v>
      </c>
      <c r="E83" s="3">
        <v>211</v>
      </c>
      <c r="F83" s="3">
        <f>Source!Y71</f>
        <v>23.22</v>
      </c>
      <c r="G83" s="3" t="s">
        <v>125</v>
      </c>
      <c r="H83" s="3" t="s">
        <v>126</v>
      </c>
      <c r="I83" s="3"/>
      <c r="J83" s="3"/>
      <c r="K83" s="3">
        <v>211</v>
      </c>
      <c r="L83" s="3">
        <v>11</v>
      </c>
      <c r="M83" s="3">
        <v>0</v>
      </c>
      <c r="N83" s="3" t="s">
        <v>5</v>
      </c>
    </row>
    <row r="84" ht="12.75">
      <c r="G84">
        <v>0</v>
      </c>
    </row>
    <row r="85" spans="1:59" ht="12.75">
      <c r="A85" s="1">
        <v>4</v>
      </c>
      <c r="B85" s="1">
        <v>1</v>
      </c>
      <c r="C85" s="1"/>
      <c r="D85" s="1">
        <f>ROW(A92)</f>
        <v>92</v>
      </c>
      <c r="E85" s="1"/>
      <c r="F85" s="1" t="s">
        <v>139</v>
      </c>
      <c r="G85" s="1" t="s">
        <v>139</v>
      </c>
      <c r="H85" s="1"/>
      <c r="I85" s="1"/>
      <c r="J85" s="1"/>
      <c r="K85" s="1"/>
      <c r="L85" s="1"/>
      <c r="M85" s="1"/>
      <c r="N85" s="1" t="s">
        <v>5</v>
      </c>
      <c r="O85" s="1"/>
      <c r="P85" s="1"/>
      <c r="Q85" s="1"/>
      <c r="R85" s="1" t="s">
        <v>5</v>
      </c>
      <c r="S85" s="1" t="s">
        <v>5</v>
      </c>
      <c r="T85" s="1" t="s">
        <v>5</v>
      </c>
      <c r="U85" s="1" t="s">
        <v>5</v>
      </c>
      <c r="V85" s="1"/>
      <c r="W85" s="1"/>
      <c r="X85" s="1">
        <v>0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>
        <v>0</v>
      </c>
      <c r="AM85" s="1"/>
      <c r="BE85" t="s">
        <v>140</v>
      </c>
      <c r="BF85">
        <v>0</v>
      </c>
      <c r="BG85">
        <v>0</v>
      </c>
    </row>
    <row r="87" spans="1:39" ht="12.75">
      <c r="A87" s="2">
        <v>52</v>
      </c>
      <c r="B87" s="2">
        <f aca="true" t="shared" si="39" ref="B87:AM87">B92</f>
        <v>1</v>
      </c>
      <c r="C87" s="2">
        <f t="shared" si="39"/>
        <v>4</v>
      </c>
      <c r="D87" s="2">
        <f t="shared" si="39"/>
        <v>85</v>
      </c>
      <c r="E87" s="2">
        <f t="shared" si="39"/>
        <v>0</v>
      </c>
      <c r="F87" s="2" t="str">
        <f t="shared" si="39"/>
        <v>Монтажные работы</v>
      </c>
      <c r="G87" s="2" t="str">
        <f t="shared" si="39"/>
        <v>Монтажные работы</v>
      </c>
      <c r="H87" s="2">
        <f t="shared" si="39"/>
        <v>0</v>
      </c>
      <c r="I87" s="2">
        <f t="shared" si="39"/>
        <v>0</v>
      </c>
      <c r="J87" s="2">
        <f t="shared" si="39"/>
        <v>0</v>
      </c>
      <c r="K87" s="2">
        <f t="shared" si="39"/>
        <v>0</v>
      </c>
      <c r="L87" s="2">
        <f t="shared" si="39"/>
        <v>0</v>
      </c>
      <c r="M87" s="2">
        <f t="shared" si="39"/>
        <v>0</v>
      </c>
      <c r="N87" s="2">
        <f t="shared" si="39"/>
        <v>0</v>
      </c>
      <c r="O87" s="2">
        <f t="shared" si="39"/>
        <v>95.42</v>
      </c>
      <c r="P87" s="2">
        <f t="shared" si="39"/>
        <v>30.12</v>
      </c>
      <c r="Q87" s="2">
        <f t="shared" si="39"/>
        <v>12.15</v>
      </c>
      <c r="R87" s="2">
        <f t="shared" si="39"/>
        <v>2.36</v>
      </c>
      <c r="S87" s="2">
        <f t="shared" si="39"/>
        <v>53.15</v>
      </c>
      <c r="T87" s="2">
        <f t="shared" si="39"/>
        <v>0</v>
      </c>
      <c r="U87" s="2">
        <f t="shared" si="39"/>
        <v>5.15</v>
      </c>
      <c r="V87" s="2">
        <f t="shared" si="39"/>
        <v>0.16</v>
      </c>
      <c r="W87" s="2">
        <f t="shared" si="39"/>
        <v>0</v>
      </c>
      <c r="X87" s="2">
        <f t="shared" si="39"/>
        <v>44.41</v>
      </c>
      <c r="Y87" s="2">
        <f t="shared" si="39"/>
        <v>33.3</v>
      </c>
      <c r="Z87" s="2">
        <f t="shared" si="39"/>
        <v>0</v>
      </c>
      <c r="AA87" s="2">
        <f t="shared" si="39"/>
        <v>0</v>
      </c>
      <c r="AB87" s="2">
        <f t="shared" si="39"/>
        <v>95.42</v>
      </c>
      <c r="AC87" s="2">
        <f t="shared" si="39"/>
        <v>30.12</v>
      </c>
      <c r="AD87" s="2">
        <f t="shared" si="39"/>
        <v>12.15</v>
      </c>
      <c r="AE87" s="2">
        <f t="shared" si="39"/>
        <v>2.36</v>
      </c>
      <c r="AF87" s="2">
        <f t="shared" si="39"/>
        <v>53.15</v>
      </c>
      <c r="AG87" s="2">
        <f t="shared" si="39"/>
        <v>0</v>
      </c>
      <c r="AH87" s="2">
        <f t="shared" si="39"/>
        <v>5.15</v>
      </c>
      <c r="AI87" s="2">
        <f t="shared" si="39"/>
        <v>0.16</v>
      </c>
      <c r="AJ87" s="2">
        <f t="shared" si="39"/>
        <v>0</v>
      </c>
      <c r="AK87" s="2">
        <f t="shared" si="39"/>
        <v>44.41</v>
      </c>
      <c r="AL87" s="2">
        <f t="shared" si="39"/>
        <v>33.3</v>
      </c>
      <c r="AM87" s="2">
        <f t="shared" si="39"/>
        <v>0</v>
      </c>
    </row>
    <row r="89" spans="1:150" ht="12.75">
      <c r="A89">
        <v>17</v>
      </c>
      <c r="B89">
        <v>1</v>
      </c>
      <c r="C89">
        <f>ROW(SmtRes!A181)</f>
        <v>181</v>
      </c>
      <c r="E89" t="s">
        <v>17</v>
      </c>
      <c r="F89" t="s">
        <v>141</v>
      </c>
      <c r="G89" t="s">
        <v>142</v>
      </c>
      <c r="H89" t="s">
        <v>52</v>
      </c>
      <c r="I89">
        <v>1</v>
      </c>
      <c r="J89">
        <v>0</v>
      </c>
      <c r="O89">
        <f>ROUND(CP89,2)</f>
        <v>80.71</v>
      </c>
      <c r="P89">
        <f>ROUND(CQ89*I89,2)</f>
        <v>27.15</v>
      </c>
      <c r="Q89">
        <f>ROUND(CR89*I89,2)</f>
        <v>12.15</v>
      </c>
      <c r="R89">
        <f>ROUND(CS89*I89,2)</f>
        <v>2.36</v>
      </c>
      <c r="S89">
        <f>ROUND(CT89*I89,2)</f>
        <v>41.41</v>
      </c>
      <c r="T89">
        <f>ROUND(CU89*I89,2)</f>
        <v>0</v>
      </c>
      <c r="U89">
        <f>ROUND(CV89*I89,2)</f>
        <v>4.12</v>
      </c>
      <c r="V89">
        <f>ROUND(CW89*I89,2)</f>
        <v>0.16</v>
      </c>
      <c r="W89">
        <f>ROUND(CX89*I89,2)</f>
        <v>0</v>
      </c>
      <c r="X89">
        <f>ROUND(CY89,2)</f>
        <v>35.02</v>
      </c>
      <c r="Y89">
        <f>ROUND(CZ89,2)</f>
        <v>26.26</v>
      </c>
      <c r="AA89">
        <v>0</v>
      </c>
      <c r="AB89">
        <f>(AC89+AD89+AF89)</f>
        <v>80.7075</v>
      </c>
      <c r="AC89">
        <f>AL89</f>
        <v>27.146</v>
      </c>
      <c r="AD89">
        <f>(AM89*1.25)</f>
        <v>12.15</v>
      </c>
      <c r="AE89">
        <f>(AN89*1.25)</f>
        <v>2.3625</v>
      </c>
      <c r="AF89">
        <f>(AO89*1.15)</f>
        <v>41.4115</v>
      </c>
      <c r="AG89">
        <f aca="true" t="shared" si="40" ref="AG89:AJ90">AP89</f>
        <v>0</v>
      </c>
      <c r="AH89">
        <f t="shared" si="40"/>
        <v>4.12</v>
      </c>
      <c r="AI89">
        <f t="shared" si="40"/>
        <v>0.16</v>
      </c>
      <c r="AJ89">
        <f t="shared" si="40"/>
        <v>0</v>
      </c>
      <c r="AK89">
        <v>65.12</v>
      </c>
      <c r="AL89" s="1">
        <f>19.39*($AL$23)</f>
        <v>27.146</v>
      </c>
      <c r="AM89">
        <v>9.72</v>
      </c>
      <c r="AN89">
        <v>1.89</v>
      </c>
      <c r="AO89">
        <v>36.01</v>
      </c>
      <c r="AP89">
        <v>0</v>
      </c>
      <c r="AQ89">
        <v>4.12</v>
      </c>
      <c r="AR89">
        <v>0.16</v>
      </c>
      <c r="AS89">
        <v>0</v>
      </c>
      <c r="AT89">
        <v>80</v>
      </c>
      <c r="AU89">
        <v>60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H89">
        <v>0</v>
      </c>
      <c r="BI89">
        <v>2</v>
      </c>
      <c r="BJ89" t="s">
        <v>143</v>
      </c>
      <c r="BM89">
        <v>55</v>
      </c>
      <c r="BN89">
        <v>0</v>
      </c>
      <c r="BO89" t="s">
        <v>141</v>
      </c>
      <c r="BP89">
        <v>1</v>
      </c>
      <c r="BQ89">
        <v>3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CF89">
        <v>0</v>
      </c>
      <c r="CG89">
        <v>0</v>
      </c>
      <c r="CM89">
        <v>0</v>
      </c>
      <c r="CO89">
        <v>0</v>
      </c>
      <c r="CP89">
        <f>(P89+Q89+S89)</f>
        <v>80.71</v>
      </c>
      <c r="CQ89">
        <f>(AC89)*BC89</f>
        <v>27.146</v>
      </c>
      <c r="CR89">
        <f>(AD89)*BB89</f>
        <v>12.15</v>
      </c>
      <c r="CS89">
        <f>(AE89)*BS89</f>
        <v>2.3625</v>
      </c>
      <c r="CT89">
        <f>(AF89)*BA89</f>
        <v>41.4115</v>
      </c>
      <c r="CU89">
        <f aca="true" t="shared" si="41" ref="CU89:CX90">(AG89)*BT89</f>
        <v>0</v>
      </c>
      <c r="CV89">
        <f t="shared" si="41"/>
        <v>4.12</v>
      </c>
      <c r="CW89">
        <f t="shared" si="41"/>
        <v>0.16</v>
      </c>
      <c r="CX89">
        <f t="shared" si="41"/>
        <v>0</v>
      </c>
      <c r="CY89">
        <f>(((S89+R89)*AT89)/100)</f>
        <v>35.01599999999999</v>
      </c>
      <c r="CZ89">
        <f>(((S89+R89)*AU89)/100)</f>
        <v>26.261999999999997</v>
      </c>
      <c r="DE89" t="s">
        <v>22</v>
      </c>
      <c r="DF89" t="s">
        <v>22</v>
      </c>
      <c r="DG89" t="s">
        <v>23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1010</v>
      </c>
      <c r="DV89" t="s">
        <v>52</v>
      </c>
      <c r="DW89" t="s">
        <v>52</v>
      </c>
      <c r="DX89">
        <v>1</v>
      </c>
      <c r="EE89">
        <v>6294947</v>
      </c>
      <c r="EF89">
        <v>3</v>
      </c>
      <c r="EG89" t="s">
        <v>139</v>
      </c>
      <c r="EH89">
        <v>0</v>
      </c>
      <c r="EJ89">
        <v>2</v>
      </c>
      <c r="EK89">
        <v>55</v>
      </c>
      <c r="EL89" t="s">
        <v>144</v>
      </c>
      <c r="EM89" t="s">
        <v>145</v>
      </c>
      <c r="ET89">
        <v>2699.15</v>
      </c>
    </row>
    <row r="90" spans="1:150" ht="12.75">
      <c r="A90">
        <v>17</v>
      </c>
      <c r="B90">
        <v>1</v>
      </c>
      <c r="C90">
        <f>ROW(SmtRes!A183)</f>
        <v>183</v>
      </c>
      <c r="E90" t="s">
        <v>28</v>
      </c>
      <c r="F90" t="s">
        <v>146</v>
      </c>
      <c r="G90" t="s">
        <v>147</v>
      </c>
      <c r="H90" t="s">
        <v>52</v>
      </c>
      <c r="I90">
        <v>1</v>
      </c>
      <c r="J90">
        <v>0</v>
      </c>
      <c r="O90">
        <f>ROUND(CP90,2)</f>
        <v>14.71</v>
      </c>
      <c r="P90">
        <f>ROUND(CQ90*I90,2)</f>
        <v>2.97</v>
      </c>
      <c r="Q90">
        <f>ROUND(CR90*I90,2)</f>
        <v>0</v>
      </c>
      <c r="R90">
        <f>ROUND(CS90*I90,2)</f>
        <v>0</v>
      </c>
      <c r="S90">
        <f>ROUND(CT90*I90,2)</f>
        <v>11.74</v>
      </c>
      <c r="T90">
        <f>ROUND(CU90*I90,2)</f>
        <v>0</v>
      </c>
      <c r="U90">
        <f>ROUND(CV90*I90,2)</f>
        <v>1.03</v>
      </c>
      <c r="V90">
        <f>ROUND(CW90*I90,2)</f>
        <v>0</v>
      </c>
      <c r="W90">
        <f>ROUND(CX90*I90,2)</f>
        <v>0</v>
      </c>
      <c r="X90">
        <f>ROUND(CY90,2)</f>
        <v>9.39</v>
      </c>
      <c r="Y90">
        <f>ROUND(CZ90,2)</f>
        <v>7.04</v>
      </c>
      <c r="AA90">
        <v>0</v>
      </c>
      <c r="AB90">
        <f>(AC90+AD90+AF90)</f>
        <v>14.7095</v>
      </c>
      <c r="AC90">
        <f>AL90</f>
        <v>2.968</v>
      </c>
      <c r="AD90">
        <f>(AM90*1.25)</f>
        <v>0</v>
      </c>
      <c r="AE90">
        <f>(AN90*1.25)</f>
        <v>0</v>
      </c>
      <c r="AF90">
        <f>(AO90*1.15)</f>
        <v>11.7415</v>
      </c>
      <c r="AG90">
        <f t="shared" si="40"/>
        <v>0</v>
      </c>
      <c r="AH90">
        <f t="shared" si="40"/>
        <v>1.03</v>
      </c>
      <c r="AI90">
        <f t="shared" si="40"/>
        <v>0</v>
      </c>
      <c r="AJ90">
        <f t="shared" si="40"/>
        <v>0</v>
      </c>
      <c r="AK90">
        <v>12.33</v>
      </c>
      <c r="AL90" s="1">
        <f>2.12*($AL$23)</f>
        <v>2.968</v>
      </c>
      <c r="AM90">
        <v>0</v>
      </c>
      <c r="AN90">
        <v>0</v>
      </c>
      <c r="AO90">
        <v>10.21</v>
      </c>
      <c r="AP90">
        <v>0</v>
      </c>
      <c r="AQ90">
        <v>1.03</v>
      </c>
      <c r="AR90">
        <v>0</v>
      </c>
      <c r="AS90">
        <v>0</v>
      </c>
      <c r="AT90">
        <v>80</v>
      </c>
      <c r="AU90">
        <v>60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H90">
        <v>0</v>
      </c>
      <c r="BI90">
        <v>2</v>
      </c>
      <c r="BJ90" t="s">
        <v>148</v>
      </c>
      <c r="BM90">
        <v>55</v>
      </c>
      <c r="BN90">
        <v>0</v>
      </c>
      <c r="BO90" t="s">
        <v>146</v>
      </c>
      <c r="BP90">
        <v>1</v>
      </c>
      <c r="BQ90">
        <v>3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CF90">
        <v>0</v>
      </c>
      <c r="CG90">
        <v>0</v>
      </c>
      <c r="CM90">
        <v>0</v>
      </c>
      <c r="CO90">
        <v>0</v>
      </c>
      <c r="CP90">
        <f>(P90+Q90+S90)</f>
        <v>14.71</v>
      </c>
      <c r="CQ90">
        <f>(AC90)*BC90</f>
        <v>2.968</v>
      </c>
      <c r="CR90">
        <f>(AD90)*BB90</f>
        <v>0</v>
      </c>
      <c r="CS90">
        <f>(AE90)*BS90</f>
        <v>0</v>
      </c>
      <c r="CT90">
        <f>(AF90)*BA90</f>
        <v>11.7415</v>
      </c>
      <c r="CU90">
        <f t="shared" si="41"/>
        <v>0</v>
      </c>
      <c r="CV90">
        <f t="shared" si="41"/>
        <v>1.03</v>
      </c>
      <c r="CW90">
        <f t="shared" si="41"/>
        <v>0</v>
      </c>
      <c r="CX90">
        <f t="shared" si="41"/>
        <v>0</v>
      </c>
      <c r="CY90">
        <f>(((S90+R90)*AT90)/100)</f>
        <v>9.392000000000001</v>
      </c>
      <c r="CZ90">
        <f>(((S90+R90)*AU90)/100)</f>
        <v>7.044</v>
      </c>
      <c r="DE90" t="s">
        <v>22</v>
      </c>
      <c r="DF90" t="s">
        <v>22</v>
      </c>
      <c r="DG90" t="s">
        <v>23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1010</v>
      </c>
      <c r="DV90" t="s">
        <v>52</v>
      </c>
      <c r="DW90" t="s">
        <v>52</v>
      </c>
      <c r="DX90">
        <v>1</v>
      </c>
      <c r="EE90">
        <v>6294947</v>
      </c>
      <c r="EF90">
        <v>3</v>
      </c>
      <c r="EG90" t="s">
        <v>139</v>
      </c>
      <c r="EH90">
        <v>0</v>
      </c>
      <c r="EJ90">
        <v>2</v>
      </c>
      <c r="EK90">
        <v>55</v>
      </c>
      <c r="EL90" t="s">
        <v>144</v>
      </c>
      <c r="EM90" t="s">
        <v>145</v>
      </c>
      <c r="ET90">
        <v>512.82</v>
      </c>
    </row>
    <row r="92" spans="1:39" ht="12.75">
      <c r="A92" s="2">
        <v>51</v>
      </c>
      <c r="B92" s="2">
        <f>B85</f>
        <v>1</v>
      </c>
      <c r="C92" s="2">
        <f>A85</f>
        <v>4</v>
      </c>
      <c r="D92" s="2">
        <f>ROW(A85)</f>
        <v>85</v>
      </c>
      <c r="E92" s="2"/>
      <c r="F92" s="2" t="str">
        <f>IF(F85&lt;&gt;"",F85,"")</f>
        <v>Монтажные работы</v>
      </c>
      <c r="G92" s="2" t="str">
        <f>IF(G85&lt;&gt;"",G85,"")</f>
        <v>Монтажные работы</v>
      </c>
      <c r="H92" s="2"/>
      <c r="I92" s="2"/>
      <c r="J92" s="2"/>
      <c r="K92" s="2"/>
      <c r="L92" s="2"/>
      <c r="M92" s="2"/>
      <c r="N92" s="2"/>
      <c r="O92" s="2">
        <f aca="true" t="shared" si="42" ref="O92:Y92">ROUND(AB92,2)</f>
        <v>95.42</v>
      </c>
      <c r="P92" s="2">
        <f t="shared" si="42"/>
        <v>30.12</v>
      </c>
      <c r="Q92" s="2">
        <f t="shared" si="42"/>
        <v>12.15</v>
      </c>
      <c r="R92" s="2">
        <f t="shared" si="42"/>
        <v>2.36</v>
      </c>
      <c r="S92" s="2">
        <f t="shared" si="42"/>
        <v>53.15</v>
      </c>
      <c r="T92" s="2">
        <f t="shared" si="42"/>
        <v>0</v>
      </c>
      <c r="U92" s="2">
        <f t="shared" si="42"/>
        <v>5.15</v>
      </c>
      <c r="V92" s="2">
        <f t="shared" si="42"/>
        <v>0.16</v>
      </c>
      <c r="W92" s="2">
        <f t="shared" si="42"/>
        <v>0</v>
      </c>
      <c r="X92" s="2">
        <f t="shared" si="42"/>
        <v>44.41</v>
      </c>
      <c r="Y92" s="2">
        <f t="shared" si="42"/>
        <v>33.3</v>
      </c>
      <c r="Z92" s="2"/>
      <c r="AA92" s="2"/>
      <c r="AB92" s="2">
        <f>ROUND(SUMIF(AA89:AA90,"=0",O89:O90),2)</f>
        <v>95.42</v>
      </c>
      <c r="AC92" s="2">
        <f>ROUND(SUMIF(AA89:AA90,"=0",P89:P90),2)</f>
        <v>30.12</v>
      </c>
      <c r="AD92" s="2">
        <f>ROUND(SUMIF(AA89:AA90,"=0",Q89:Q90),2)</f>
        <v>12.15</v>
      </c>
      <c r="AE92" s="2">
        <f>ROUND(SUMIF(AA89:AA90,"=0",R89:R90),2)</f>
        <v>2.36</v>
      </c>
      <c r="AF92" s="2">
        <f>ROUND(SUMIF(AA89:AA90,"=0",S89:S90),2)</f>
        <v>53.15</v>
      </c>
      <c r="AG92" s="2">
        <f>ROUND(SUMIF(AA89:AA90,"=0",T89:T90),2)</f>
        <v>0</v>
      </c>
      <c r="AH92" s="2">
        <f>ROUND(SUMIF(AA89:AA90,"=0",U89:U90),2)</f>
        <v>5.15</v>
      </c>
      <c r="AI92" s="2">
        <f>ROUND(SUMIF(AA89:AA90,"=0",V89:V90),2)</f>
        <v>0.16</v>
      </c>
      <c r="AJ92" s="2">
        <f>ROUND(SUMIF(AA89:AA90,"=0",W89:W90),2)</f>
        <v>0</v>
      </c>
      <c r="AK92" s="2">
        <f>ROUND(SUMIF(AA89:AA90,"=0",X89:X90),2)</f>
        <v>44.41</v>
      </c>
      <c r="AL92" s="2">
        <f>ROUND(SUMIF(AA89:AA90,"=0",Y89:Y90),2)</f>
        <v>33.3</v>
      </c>
      <c r="AM92" s="2">
        <v>0</v>
      </c>
    </row>
    <row r="94" spans="1:14" ht="12.75">
      <c r="A94" s="3">
        <v>50</v>
      </c>
      <c r="B94" s="3">
        <f>IF(Source!F94&lt;&gt;0,1,0)</f>
        <v>1</v>
      </c>
      <c r="C94" s="3">
        <v>0</v>
      </c>
      <c r="D94" s="3">
        <v>1</v>
      </c>
      <c r="E94" s="3">
        <v>201</v>
      </c>
      <c r="F94" s="3">
        <f>Source!O92</f>
        <v>95.42</v>
      </c>
      <c r="G94" s="3" t="s">
        <v>105</v>
      </c>
      <c r="H94" s="3" t="s">
        <v>106</v>
      </c>
      <c r="I94" s="3"/>
      <c r="J94" s="3"/>
      <c r="K94" s="3">
        <v>201</v>
      </c>
      <c r="L94" s="3">
        <v>1</v>
      </c>
      <c r="M94" s="3">
        <v>1</v>
      </c>
      <c r="N94" s="3" t="s">
        <v>5</v>
      </c>
    </row>
    <row r="95" spans="1:14" ht="12.75">
      <c r="A95" s="3">
        <v>50</v>
      </c>
      <c r="B95" s="3">
        <f>IF(Source!F95&lt;&gt;0,1,0)</f>
        <v>1</v>
      </c>
      <c r="C95" s="3">
        <v>0</v>
      </c>
      <c r="D95" s="3">
        <v>1</v>
      </c>
      <c r="E95" s="3">
        <v>202</v>
      </c>
      <c r="F95" s="3">
        <f>Source!P92</f>
        <v>30.12</v>
      </c>
      <c r="G95" s="3" t="s">
        <v>107</v>
      </c>
      <c r="H95" s="3" t="s">
        <v>108</v>
      </c>
      <c r="I95" s="3"/>
      <c r="J95" s="3"/>
      <c r="K95" s="3">
        <v>202</v>
      </c>
      <c r="L95" s="3">
        <v>2</v>
      </c>
      <c r="M95" s="3">
        <v>1</v>
      </c>
      <c r="N95" s="3" t="s">
        <v>5</v>
      </c>
    </row>
    <row r="96" spans="1:14" ht="12.75">
      <c r="A96" s="3">
        <v>50</v>
      </c>
      <c r="B96" s="3">
        <f>IF(Source!F96&lt;&gt;0,1,0)</f>
        <v>1</v>
      </c>
      <c r="C96" s="3">
        <v>0</v>
      </c>
      <c r="D96" s="3">
        <v>1</v>
      </c>
      <c r="E96" s="3">
        <v>203</v>
      </c>
      <c r="F96" s="3">
        <f>Source!Q92</f>
        <v>12.15</v>
      </c>
      <c r="G96" s="3" t="s">
        <v>109</v>
      </c>
      <c r="H96" s="3" t="s">
        <v>110</v>
      </c>
      <c r="I96" s="3"/>
      <c r="J96" s="3"/>
      <c r="K96" s="3">
        <v>203</v>
      </c>
      <c r="L96" s="3">
        <v>3</v>
      </c>
      <c r="M96" s="3">
        <v>1</v>
      </c>
      <c r="N96" s="3" t="s">
        <v>5</v>
      </c>
    </row>
    <row r="97" spans="1:14" ht="12.75">
      <c r="A97" s="3">
        <v>50</v>
      </c>
      <c r="B97" s="3">
        <f>IF(Source!F97&lt;&gt;0,1,0)</f>
        <v>1</v>
      </c>
      <c r="C97" s="3">
        <v>0</v>
      </c>
      <c r="D97" s="3">
        <v>1</v>
      </c>
      <c r="E97" s="3">
        <v>204</v>
      </c>
      <c r="F97" s="3">
        <f>Source!R92</f>
        <v>2.36</v>
      </c>
      <c r="G97" s="3" t="s">
        <v>111</v>
      </c>
      <c r="H97" s="3" t="s">
        <v>112</v>
      </c>
      <c r="I97" s="3"/>
      <c r="J97" s="3"/>
      <c r="K97" s="3">
        <v>204</v>
      </c>
      <c r="L97" s="3">
        <v>4</v>
      </c>
      <c r="M97" s="3">
        <v>1</v>
      </c>
      <c r="N97" s="3" t="s">
        <v>5</v>
      </c>
    </row>
    <row r="98" spans="1:14" ht="12.75">
      <c r="A98" s="3">
        <v>50</v>
      </c>
      <c r="B98" s="3">
        <f>IF(Source!F98&lt;&gt;0,1,0)</f>
        <v>1</v>
      </c>
      <c r="C98" s="3">
        <v>0</v>
      </c>
      <c r="D98" s="3">
        <v>1</v>
      </c>
      <c r="E98" s="3">
        <v>205</v>
      </c>
      <c r="F98" s="3">
        <f>Source!S92</f>
        <v>53.15</v>
      </c>
      <c r="G98" s="3" t="s">
        <v>113</v>
      </c>
      <c r="H98" s="3" t="s">
        <v>114</v>
      </c>
      <c r="I98" s="3"/>
      <c r="J98" s="3"/>
      <c r="K98" s="3">
        <v>205</v>
      </c>
      <c r="L98" s="3">
        <v>5</v>
      </c>
      <c r="M98" s="3">
        <v>1</v>
      </c>
      <c r="N98" s="3" t="s">
        <v>5</v>
      </c>
    </row>
    <row r="99" spans="1:14" ht="12.75">
      <c r="A99" s="3">
        <v>50</v>
      </c>
      <c r="B99" s="3">
        <f>IF(Source!F99&lt;&gt;0,1,0)</f>
        <v>0</v>
      </c>
      <c r="C99" s="3">
        <v>0</v>
      </c>
      <c r="D99" s="3">
        <v>1</v>
      </c>
      <c r="E99" s="3">
        <v>206</v>
      </c>
      <c r="F99" s="3">
        <f>Source!T92</f>
        <v>0</v>
      </c>
      <c r="G99" s="3" t="s">
        <v>115</v>
      </c>
      <c r="H99" s="3" t="s">
        <v>116</v>
      </c>
      <c r="I99" s="3"/>
      <c r="J99" s="3"/>
      <c r="K99" s="3">
        <v>206</v>
      </c>
      <c r="L99" s="3">
        <v>6</v>
      </c>
      <c r="M99" s="3">
        <v>1</v>
      </c>
      <c r="N99" s="3" t="s">
        <v>5</v>
      </c>
    </row>
    <row r="100" spans="1:14" ht="12.75">
      <c r="A100" s="3">
        <v>50</v>
      </c>
      <c r="B100" s="3">
        <f>IF(Source!F100&lt;&gt;0,1,0)</f>
        <v>1</v>
      </c>
      <c r="C100" s="3">
        <v>0</v>
      </c>
      <c r="D100" s="3">
        <v>1</v>
      </c>
      <c r="E100" s="3">
        <v>207</v>
      </c>
      <c r="F100" s="3">
        <f>Source!U92</f>
        <v>5.15</v>
      </c>
      <c r="G100" s="3" t="s">
        <v>117</v>
      </c>
      <c r="H100" s="3" t="s">
        <v>118</v>
      </c>
      <c r="I100" s="3"/>
      <c r="J100" s="3"/>
      <c r="K100" s="3">
        <v>207</v>
      </c>
      <c r="L100" s="3">
        <v>7</v>
      </c>
      <c r="M100" s="3">
        <v>1</v>
      </c>
      <c r="N100" s="3" t="s">
        <v>5</v>
      </c>
    </row>
    <row r="101" spans="1:14" ht="12.75">
      <c r="A101" s="3">
        <v>50</v>
      </c>
      <c r="B101" s="3">
        <f>IF(Source!F101&lt;&gt;0,1,0)</f>
        <v>1</v>
      </c>
      <c r="C101" s="3">
        <v>0</v>
      </c>
      <c r="D101" s="3">
        <v>1</v>
      </c>
      <c r="E101" s="3">
        <v>208</v>
      </c>
      <c r="F101" s="3">
        <f>Source!V92</f>
        <v>0.16</v>
      </c>
      <c r="G101" s="3" t="s">
        <v>119</v>
      </c>
      <c r="H101" s="3" t="s">
        <v>120</v>
      </c>
      <c r="I101" s="3"/>
      <c r="J101" s="3"/>
      <c r="K101" s="3">
        <v>208</v>
      </c>
      <c r="L101" s="3">
        <v>8</v>
      </c>
      <c r="M101" s="3">
        <v>1</v>
      </c>
      <c r="N101" s="3" t="s">
        <v>5</v>
      </c>
    </row>
    <row r="102" spans="1:14" ht="12.75">
      <c r="A102" s="3">
        <v>50</v>
      </c>
      <c r="B102" s="3">
        <f>IF(Source!F102&lt;&gt;0,1,0)</f>
        <v>0</v>
      </c>
      <c r="C102" s="3">
        <v>0</v>
      </c>
      <c r="D102" s="3">
        <v>1</v>
      </c>
      <c r="E102" s="3">
        <v>209</v>
      </c>
      <c r="F102" s="3">
        <f>Source!W92</f>
        <v>0</v>
      </c>
      <c r="G102" s="3" t="s">
        <v>121</v>
      </c>
      <c r="H102" s="3" t="s">
        <v>122</v>
      </c>
      <c r="I102" s="3"/>
      <c r="J102" s="3"/>
      <c r="K102" s="3">
        <v>209</v>
      </c>
      <c r="L102" s="3">
        <v>9</v>
      </c>
      <c r="M102" s="3">
        <v>1</v>
      </c>
      <c r="N102" s="3" t="s">
        <v>5</v>
      </c>
    </row>
    <row r="103" spans="1:14" ht="12.75">
      <c r="A103" s="3">
        <v>50</v>
      </c>
      <c r="B103" s="3">
        <f>IF(Source!F103&lt;&gt;0,1,0)</f>
        <v>1</v>
      </c>
      <c r="C103" s="3">
        <v>0</v>
      </c>
      <c r="D103" s="3">
        <v>1</v>
      </c>
      <c r="E103" s="3">
        <v>210</v>
      </c>
      <c r="F103" s="3">
        <f>Source!X92</f>
        <v>44.41</v>
      </c>
      <c r="G103" s="3" t="s">
        <v>123</v>
      </c>
      <c r="H103" s="3" t="s">
        <v>124</v>
      </c>
      <c r="I103" s="3"/>
      <c r="J103" s="3"/>
      <c r="K103" s="3">
        <v>210</v>
      </c>
      <c r="L103" s="3">
        <v>10</v>
      </c>
      <c r="M103" s="3">
        <v>1</v>
      </c>
      <c r="N103" s="3" t="s">
        <v>5</v>
      </c>
    </row>
    <row r="104" spans="1:14" ht="12.75">
      <c r="A104" s="3">
        <v>50</v>
      </c>
      <c r="B104" s="3">
        <v>1</v>
      </c>
      <c r="C104" s="3">
        <v>0</v>
      </c>
      <c r="D104" s="3">
        <v>1</v>
      </c>
      <c r="E104" s="3">
        <v>211</v>
      </c>
      <c r="F104" s="3">
        <f>Source!Y92</f>
        <v>33.3</v>
      </c>
      <c r="G104" s="3" t="s">
        <v>125</v>
      </c>
      <c r="H104" s="3" t="s">
        <v>126</v>
      </c>
      <c r="I104" s="3"/>
      <c r="J104" s="3"/>
      <c r="K104" s="3">
        <v>211</v>
      </c>
      <c r="L104" s="3">
        <v>11</v>
      </c>
      <c r="M104" s="3">
        <v>0</v>
      </c>
      <c r="N104" s="3" t="s">
        <v>5</v>
      </c>
    </row>
    <row r="105" ht="12.75">
      <c r="G105">
        <v>0</v>
      </c>
    </row>
    <row r="106" spans="1:59" ht="12.75">
      <c r="A106" s="1">
        <v>4</v>
      </c>
      <c r="B106" s="1">
        <v>1</v>
      </c>
      <c r="C106" s="1"/>
      <c r="D106" s="1">
        <f>ROW(A114)</f>
        <v>114</v>
      </c>
      <c r="E106" s="1"/>
      <c r="F106" s="1" t="s">
        <v>149</v>
      </c>
      <c r="G106" s="1" t="s">
        <v>149</v>
      </c>
      <c r="H106" s="1"/>
      <c r="I106" s="1"/>
      <c r="J106" s="1"/>
      <c r="K106" s="1"/>
      <c r="L106" s="1"/>
      <c r="M106" s="1"/>
      <c r="N106" s="1" t="s">
        <v>5</v>
      </c>
      <c r="O106" s="1"/>
      <c r="P106" s="1"/>
      <c r="Q106" s="1"/>
      <c r="R106" s="1" t="s">
        <v>5</v>
      </c>
      <c r="S106" s="1" t="s">
        <v>5</v>
      </c>
      <c r="T106" s="1" t="s">
        <v>5</v>
      </c>
      <c r="U106" s="1" t="s">
        <v>5</v>
      </c>
      <c r="V106" s="1"/>
      <c r="W106" s="1"/>
      <c r="X106" s="1">
        <v>0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>
        <v>0</v>
      </c>
      <c r="AM106" s="1"/>
      <c r="BE106" t="s">
        <v>150</v>
      </c>
      <c r="BF106">
        <v>0</v>
      </c>
      <c r="BG106">
        <v>0</v>
      </c>
    </row>
    <row r="108" spans="1:39" ht="12.75">
      <c r="A108" s="2">
        <v>52</v>
      </c>
      <c r="B108" s="2">
        <f aca="true" t="shared" si="43" ref="B108:AM108">B114</f>
        <v>1</v>
      </c>
      <c r="C108" s="2">
        <f t="shared" si="43"/>
        <v>4</v>
      </c>
      <c r="D108" s="2">
        <f t="shared" si="43"/>
        <v>106</v>
      </c>
      <c r="E108" s="2">
        <f t="shared" si="43"/>
        <v>0</v>
      </c>
      <c r="F108" s="2" t="str">
        <f t="shared" si="43"/>
        <v>Оборудование</v>
      </c>
      <c r="G108" s="2" t="str">
        <f t="shared" si="43"/>
        <v>Оборудование</v>
      </c>
      <c r="H108" s="2">
        <f t="shared" si="43"/>
        <v>0</v>
      </c>
      <c r="I108" s="2">
        <f t="shared" si="43"/>
        <v>0</v>
      </c>
      <c r="J108" s="2">
        <f t="shared" si="43"/>
        <v>0</v>
      </c>
      <c r="K108" s="2">
        <f t="shared" si="43"/>
        <v>0</v>
      </c>
      <c r="L108" s="2">
        <f t="shared" si="43"/>
        <v>0</v>
      </c>
      <c r="M108" s="2">
        <f t="shared" si="43"/>
        <v>0</v>
      </c>
      <c r="N108" s="2">
        <f t="shared" si="43"/>
        <v>0</v>
      </c>
      <c r="O108" s="2">
        <f t="shared" si="43"/>
        <v>12221.16</v>
      </c>
      <c r="P108" s="2">
        <f t="shared" si="43"/>
        <v>12221.16</v>
      </c>
      <c r="Q108" s="2">
        <f t="shared" si="43"/>
        <v>0</v>
      </c>
      <c r="R108" s="2">
        <f t="shared" si="43"/>
        <v>0</v>
      </c>
      <c r="S108" s="2">
        <f t="shared" si="43"/>
        <v>0</v>
      </c>
      <c r="T108" s="2">
        <f t="shared" si="43"/>
        <v>0</v>
      </c>
      <c r="U108" s="2">
        <f t="shared" si="43"/>
        <v>0</v>
      </c>
      <c r="V108" s="2">
        <f t="shared" si="43"/>
        <v>0</v>
      </c>
      <c r="W108" s="2">
        <f t="shared" si="43"/>
        <v>0</v>
      </c>
      <c r="X108" s="2">
        <f t="shared" si="43"/>
        <v>0</v>
      </c>
      <c r="Y108" s="2">
        <f t="shared" si="43"/>
        <v>0</v>
      </c>
      <c r="Z108" s="2">
        <f t="shared" si="43"/>
        <v>0</v>
      </c>
      <c r="AA108" s="2">
        <f t="shared" si="43"/>
        <v>0</v>
      </c>
      <c r="AB108" s="2">
        <f t="shared" si="43"/>
        <v>12221.16</v>
      </c>
      <c r="AC108" s="2">
        <f t="shared" si="43"/>
        <v>12221.16</v>
      </c>
      <c r="AD108" s="2">
        <f t="shared" si="43"/>
        <v>0</v>
      </c>
      <c r="AE108" s="2">
        <f t="shared" si="43"/>
        <v>0</v>
      </c>
      <c r="AF108" s="2">
        <f t="shared" si="43"/>
        <v>0</v>
      </c>
      <c r="AG108" s="2">
        <f t="shared" si="43"/>
        <v>0</v>
      </c>
      <c r="AH108" s="2">
        <f t="shared" si="43"/>
        <v>0</v>
      </c>
      <c r="AI108" s="2">
        <f t="shared" si="43"/>
        <v>0</v>
      </c>
      <c r="AJ108" s="2">
        <f t="shared" si="43"/>
        <v>0</v>
      </c>
      <c r="AK108" s="2">
        <f t="shared" si="43"/>
        <v>0</v>
      </c>
      <c r="AL108" s="2">
        <f t="shared" si="43"/>
        <v>0</v>
      </c>
      <c r="AM108" s="2">
        <f t="shared" si="43"/>
        <v>0</v>
      </c>
    </row>
    <row r="110" spans="1:150" ht="12.75">
      <c r="A110">
        <v>17</v>
      </c>
      <c r="B110">
        <v>1</v>
      </c>
      <c r="E110" t="s">
        <v>17</v>
      </c>
      <c r="G110" t="s">
        <v>151</v>
      </c>
      <c r="H110" t="s">
        <v>57</v>
      </c>
      <c r="I110">
        <v>1</v>
      </c>
      <c r="J110">
        <v>0</v>
      </c>
      <c r="O110">
        <f>ROUND(CP110,2)</f>
        <v>1862.64</v>
      </c>
      <c r="P110">
        <f>ROUND(CQ110*I110,2)</f>
        <v>1862.64</v>
      </c>
      <c r="Q110">
        <f>ROUND(CR110*I110,2)</f>
        <v>0</v>
      </c>
      <c r="R110">
        <f>ROUND(CS110*I110,2)</f>
        <v>0</v>
      </c>
      <c r="S110">
        <f>ROUND(CT110*I110,2)</f>
        <v>0</v>
      </c>
      <c r="T110">
        <f>ROUND(CU110*I110,2)</f>
        <v>0</v>
      </c>
      <c r="U110">
        <f>ROUND(CV110*I110,2)</f>
        <v>0</v>
      </c>
      <c r="V110">
        <f>ROUND(CW110*I110,2)</f>
        <v>0</v>
      </c>
      <c r="W110">
        <f>ROUND(CX110*I110,2)</f>
        <v>0</v>
      </c>
      <c r="X110">
        <f>ROUND(CY110,2)</f>
        <v>0</v>
      </c>
      <c r="Y110">
        <f>ROUND(CZ110,2)</f>
        <v>0</v>
      </c>
      <c r="AA110">
        <v>0</v>
      </c>
      <c r="AB110">
        <f>(AC110+AD110+AF110)</f>
        <v>1862.644</v>
      </c>
      <c r="AC110">
        <f aca="true" t="shared" si="44" ref="AC110:AJ111">AL110</f>
        <v>1862.644</v>
      </c>
      <c r="AD110">
        <f t="shared" si="44"/>
        <v>0</v>
      </c>
      <c r="AE110">
        <f t="shared" si="44"/>
        <v>0</v>
      </c>
      <c r="AF110">
        <f t="shared" si="44"/>
        <v>0</v>
      </c>
      <c r="AG110">
        <f t="shared" si="44"/>
        <v>0</v>
      </c>
      <c r="AH110">
        <f t="shared" si="44"/>
        <v>0</v>
      </c>
      <c r="AI110">
        <f t="shared" si="44"/>
        <v>0</v>
      </c>
      <c r="AJ110">
        <f t="shared" si="44"/>
        <v>0</v>
      </c>
      <c r="AK110">
        <v>1330.46</v>
      </c>
      <c r="AL110" s="1">
        <f>1330.46*($AL$23)</f>
        <v>1862.644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0</v>
      </c>
      <c r="BI110">
        <v>3</v>
      </c>
      <c r="BM110">
        <v>0</v>
      </c>
      <c r="BN110">
        <v>0</v>
      </c>
      <c r="BP110">
        <v>0</v>
      </c>
      <c r="BQ110">
        <v>1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CF110">
        <v>0</v>
      </c>
      <c r="CG110">
        <v>0</v>
      </c>
      <c r="CM110">
        <v>0</v>
      </c>
      <c r="CO110">
        <v>0</v>
      </c>
      <c r="CP110">
        <f>(P110+Q110+S110)</f>
        <v>1862.64</v>
      </c>
      <c r="CQ110">
        <f>(AC110)*BC110</f>
        <v>1862.644</v>
      </c>
      <c r="CR110">
        <f>(AD110)*BB110</f>
        <v>0</v>
      </c>
      <c r="CS110">
        <f>(AE110)*BS110</f>
        <v>0</v>
      </c>
      <c r="CT110">
        <f>(AF110)*BA110</f>
        <v>0</v>
      </c>
      <c r="CU110">
        <f aca="true" t="shared" si="45" ref="CU110:CX111">(AG110)*BT110</f>
        <v>0</v>
      </c>
      <c r="CV110">
        <f t="shared" si="45"/>
        <v>0</v>
      </c>
      <c r="CW110">
        <f t="shared" si="45"/>
        <v>0</v>
      </c>
      <c r="CX110">
        <f t="shared" si="45"/>
        <v>0</v>
      </c>
      <c r="CY110">
        <f>(((S110+R110)*AT110)/100)</f>
        <v>0</v>
      </c>
      <c r="CZ110">
        <f>(((S110+R110)*AU110)/100)</f>
        <v>0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1013</v>
      </c>
      <c r="DV110" t="s">
        <v>57</v>
      </c>
      <c r="DW110" t="s">
        <v>57</v>
      </c>
      <c r="DX110">
        <v>1</v>
      </c>
      <c r="EE110">
        <v>6294893</v>
      </c>
      <c r="EF110">
        <v>1</v>
      </c>
      <c r="EG110" t="s">
        <v>152</v>
      </c>
      <c r="EH110">
        <v>0</v>
      </c>
      <c r="EJ110">
        <v>4</v>
      </c>
      <c r="EK110">
        <v>0</v>
      </c>
      <c r="EL110" t="s">
        <v>152</v>
      </c>
      <c r="EM110" t="s">
        <v>153</v>
      </c>
      <c r="ET110">
        <v>49227.02</v>
      </c>
    </row>
    <row r="111" spans="1:150" ht="12.75">
      <c r="A111">
        <v>17</v>
      </c>
      <c r="B111">
        <v>1</v>
      </c>
      <c r="E111" t="s">
        <v>28</v>
      </c>
      <c r="G111" t="s">
        <v>154</v>
      </c>
      <c r="H111" t="s">
        <v>57</v>
      </c>
      <c r="I111">
        <v>1</v>
      </c>
      <c r="J111">
        <v>0</v>
      </c>
      <c r="O111">
        <f>ROUND(CP111,2)</f>
        <v>10358.52</v>
      </c>
      <c r="P111">
        <f>ROUND(CQ111*I111,2)</f>
        <v>10358.52</v>
      </c>
      <c r="Q111">
        <f>ROUND(CR111*I111,2)</f>
        <v>0</v>
      </c>
      <c r="R111">
        <f>ROUND(CS111*I111,2)</f>
        <v>0</v>
      </c>
      <c r="S111">
        <f>ROUND(CT111*I111,2)</f>
        <v>0</v>
      </c>
      <c r="T111">
        <f>ROUND(CU111*I111,2)</f>
        <v>0</v>
      </c>
      <c r="U111">
        <f>ROUND(CV111*I111,2)</f>
        <v>0</v>
      </c>
      <c r="V111">
        <f>ROUND(CW111*I111,2)</f>
        <v>0</v>
      </c>
      <c r="W111">
        <f>ROUND(CX111*I111,2)</f>
        <v>0</v>
      </c>
      <c r="X111">
        <f>ROUND(CY111,2)</f>
        <v>0</v>
      </c>
      <c r="Y111">
        <f>ROUND(CZ111,2)</f>
        <v>0</v>
      </c>
      <c r="AA111">
        <v>0</v>
      </c>
      <c r="AB111">
        <f>(AC111+AD111+AF111)</f>
        <v>10358.516</v>
      </c>
      <c r="AC111">
        <f t="shared" si="44"/>
        <v>10358.516</v>
      </c>
      <c r="AD111">
        <f t="shared" si="44"/>
        <v>0</v>
      </c>
      <c r="AE111">
        <f t="shared" si="44"/>
        <v>0</v>
      </c>
      <c r="AF111">
        <f t="shared" si="44"/>
        <v>0</v>
      </c>
      <c r="AG111">
        <f t="shared" si="44"/>
        <v>0</v>
      </c>
      <c r="AH111">
        <f t="shared" si="44"/>
        <v>0</v>
      </c>
      <c r="AI111">
        <f t="shared" si="44"/>
        <v>0</v>
      </c>
      <c r="AJ111">
        <f t="shared" si="44"/>
        <v>0</v>
      </c>
      <c r="AK111">
        <v>7398.94</v>
      </c>
      <c r="AL111" s="1">
        <f>7398.94*($AL$23)</f>
        <v>10358.516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0</v>
      </c>
      <c r="BI111">
        <v>3</v>
      </c>
      <c r="BM111">
        <v>0</v>
      </c>
      <c r="BN111">
        <v>0</v>
      </c>
      <c r="BP111">
        <v>0</v>
      </c>
      <c r="BQ111">
        <v>1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CF111">
        <v>0</v>
      </c>
      <c r="CG111">
        <v>0</v>
      </c>
      <c r="CM111">
        <v>0</v>
      </c>
      <c r="CO111">
        <v>0</v>
      </c>
      <c r="CP111">
        <f>(P111+Q111+S111)</f>
        <v>10358.52</v>
      </c>
      <c r="CQ111">
        <f>(AC111)*BC111</f>
        <v>10358.516</v>
      </c>
      <c r="CR111">
        <f>(AD111)*BB111</f>
        <v>0</v>
      </c>
      <c r="CS111">
        <f>(AE111)*BS111</f>
        <v>0</v>
      </c>
      <c r="CT111">
        <f>(AF111)*BA111</f>
        <v>0</v>
      </c>
      <c r="CU111">
        <f t="shared" si="45"/>
        <v>0</v>
      </c>
      <c r="CV111">
        <f t="shared" si="45"/>
        <v>0</v>
      </c>
      <c r="CW111">
        <f t="shared" si="45"/>
        <v>0</v>
      </c>
      <c r="CX111">
        <f t="shared" si="45"/>
        <v>0</v>
      </c>
      <c r="CY111">
        <f>(((S111+R111)*AT111)/100)</f>
        <v>0</v>
      </c>
      <c r="CZ111">
        <f>(((S111+R111)*AU111)/100)</f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1013</v>
      </c>
      <c r="DV111" t="s">
        <v>57</v>
      </c>
      <c r="DW111" t="s">
        <v>57</v>
      </c>
      <c r="DX111">
        <v>1</v>
      </c>
      <c r="EE111">
        <v>6294893</v>
      </c>
      <c r="EF111">
        <v>1</v>
      </c>
      <c r="EG111" t="s">
        <v>152</v>
      </c>
      <c r="EH111">
        <v>0</v>
      </c>
      <c r="EJ111">
        <v>4</v>
      </c>
      <c r="EK111">
        <v>0</v>
      </c>
      <c r="EL111" t="s">
        <v>152</v>
      </c>
      <c r="EM111" t="s">
        <v>153</v>
      </c>
      <c r="ET111">
        <v>273760.78</v>
      </c>
    </row>
    <row r="112" spans="1:128" ht="12.75">
      <c r="A112">
        <v>19</v>
      </c>
      <c r="B112">
        <v>1</v>
      </c>
      <c r="G112" t="s">
        <v>155</v>
      </c>
      <c r="AA112">
        <v>1</v>
      </c>
      <c r="DX112">
        <v>0</v>
      </c>
    </row>
    <row r="114" spans="1:39" ht="12.75">
      <c r="A114" s="2">
        <v>51</v>
      </c>
      <c r="B114" s="2">
        <f>B106</f>
        <v>1</v>
      </c>
      <c r="C114" s="2">
        <f>A106</f>
        <v>4</v>
      </c>
      <c r="D114" s="2">
        <f>ROW(A106)</f>
        <v>106</v>
      </c>
      <c r="E114" s="2"/>
      <c r="F114" s="2" t="str">
        <f>IF(F106&lt;&gt;"",F106,"")</f>
        <v>Оборудование</v>
      </c>
      <c r="G114" s="2" t="str">
        <f>IF(G106&lt;&gt;"",G106,"")</f>
        <v>Оборудование</v>
      </c>
      <c r="H114" s="2"/>
      <c r="I114" s="2"/>
      <c r="J114" s="2"/>
      <c r="K114" s="2"/>
      <c r="L114" s="2"/>
      <c r="M114" s="2"/>
      <c r="N114" s="2"/>
      <c r="O114" s="2">
        <f aca="true" t="shared" si="46" ref="O114:Y114">ROUND(AB114,2)</f>
        <v>12221.16</v>
      </c>
      <c r="P114" s="2">
        <f t="shared" si="46"/>
        <v>12221.16</v>
      </c>
      <c r="Q114" s="2">
        <f t="shared" si="46"/>
        <v>0</v>
      </c>
      <c r="R114" s="2">
        <f t="shared" si="46"/>
        <v>0</v>
      </c>
      <c r="S114" s="2">
        <f t="shared" si="46"/>
        <v>0</v>
      </c>
      <c r="T114" s="2">
        <f t="shared" si="46"/>
        <v>0</v>
      </c>
      <c r="U114" s="2">
        <f t="shared" si="46"/>
        <v>0</v>
      </c>
      <c r="V114" s="2">
        <f t="shared" si="46"/>
        <v>0</v>
      </c>
      <c r="W114" s="2">
        <f t="shared" si="46"/>
        <v>0</v>
      </c>
      <c r="X114" s="2">
        <f t="shared" si="46"/>
        <v>0</v>
      </c>
      <c r="Y114" s="2">
        <f t="shared" si="46"/>
        <v>0</v>
      </c>
      <c r="Z114" s="2"/>
      <c r="AA114" s="2"/>
      <c r="AB114" s="2">
        <f>ROUND(SUMIF(AA110:AA111,"=0",O110:O111),2)</f>
        <v>12221.16</v>
      </c>
      <c r="AC114" s="2">
        <f>ROUND(SUMIF(AA110:AA111,"=0",P110:P111),2)</f>
        <v>12221.16</v>
      </c>
      <c r="AD114" s="2">
        <f>ROUND(SUMIF(AA110:AA111,"=0",Q110:Q111),2)</f>
        <v>0</v>
      </c>
      <c r="AE114" s="2">
        <f>ROUND(SUMIF(AA110:AA111,"=0",R110:R111),2)</f>
        <v>0</v>
      </c>
      <c r="AF114" s="2">
        <f>ROUND(SUMIF(AA110:AA111,"=0",S110:S111),2)</f>
        <v>0</v>
      </c>
      <c r="AG114" s="2">
        <f>ROUND(SUMIF(AA110:AA111,"=0",T110:T111),2)</f>
        <v>0</v>
      </c>
      <c r="AH114" s="2">
        <f>ROUND(SUMIF(AA110:AA111,"=0",U110:U111),2)</f>
        <v>0</v>
      </c>
      <c r="AI114" s="2">
        <f>ROUND(SUMIF(AA110:AA111,"=0",V110:V111),2)</f>
        <v>0</v>
      </c>
      <c r="AJ114" s="2">
        <f>ROUND(SUMIF(AA110:AA111,"=0",W110:W111),2)</f>
        <v>0</v>
      </c>
      <c r="AK114" s="2">
        <f>ROUND(SUMIF(AA110:AA111,"=0",X110:X111),2)</f>
        <v>0</v>
      </c>
      <c r="AL114" s="2">
        <f>ROUND(SUMIF(AA110:AA111,"=0",Y110:Y111),2)</f>
        <v>0</v>
      </c>
      <c r="AM114" s="2">
        <v>0</v>
      </c>
    </row>
    <row r="116" spans="1:14" ht="12.75">
      <c r="A116" s="3">
        <v>50</v>
      </c>
      <c r="B116" s="3">
        <f>IF(Source!F116&lt;&gt;0,1,0)</f>
        <v>1</v>
      </c>
      <c r="C116" s="3">
        <v>0</v>
      </c>
      <c r="D116" s="3">
        <v>1</v>
      </c>
      <c r="E116" s="3">
        <v>201</v>
      </c>
      <c r="F116" s="3">
        <f>Source!O114</f>
        <v>12221.16</v>
      </c>
      <c r="G116" s="3" t="s">
        <v>105</v>
      </c>
      <c r="H116" s="3" t="s">
        <v>106</v>
      </c>
      <c r="I116" s="3"/>
      <c r="J116" s="3"/>
      <c r="K116" s="3">
        <v>201</v>
      </c>
      <c r="L116" s="3">
        <v>1</v>
      </c>
      <c r="M116" s="3">
        <v>1</v>
      </c>
      <c r="N116" s="3" t="s">
        <v>5</v>
      </c>
    </row>
    <row r="117" spans="1:14" ht="12.75">
      <c r="A117" s="3">
        <v>50</v>
      </c>
      <c r="B117" s="3">
        <f>IF(Source!F117&lt;&gt;0,1,0)</f>
        <v>1</v>
      </c>
      <c r="C117" s="3">
        <v>0</v>
      </c>
      <c r="D117" s="3">
        <v>1</v>
      </c>
      <c r="E117" s="3">
        <v>202</v>
      </c>
      <c r="F117" s="3">
        <f>Source!P114</f>
        <v>12221.16</v>
      </c>
      <c r="G117" s="3" t="s">
        <v>107</v>
      </c>
      <c r="H117" s="3" t="s">
        <v>108</v>
      </c>
      <c r="I117" s="3"/>
      <c r="J117" s="3"/>
      <c r="K117" s="3">
        <v>202</v>
      </c>
      <c r="L117" s="3">
        <v>2</v>
      </c>
      <c r="M117" s="3">
        <v>1</v>
      </c>
      <c r="N117" s="3" t="s">
        <v>5</v>
      </c>
    </row>
    <row r="118" spans="1:14" ht="12.75">
      <c r="A118" s="3">
        <v>50</v>
      </c>
      <c r="B118" s="3">
        <f>IF(Source!F118&lt;&gt;0,1,0)</f>
        <v>0</v>
      </c>
      <c r="C118" s="3">
        <v>0</v>
      </c>
      <c r="D118" s="3">
        <v>1</v>
      </c>
      <c r="E118" s="3">
        <v>203</v>
      </c>
      <c r="F118" s="3">
        <f>Source!Q114</f>
        <v>0</v>
      </c>
      <c r="G118" s="3" t="s">
        <v>109</v>
      </c>
      <c r="H118" s="3" t="s">
        <v>110</v>
      </c>
      <c r="I118" s="3"/>
      <c r="J118" s="3"/>
      <c r="K118" s="3">
        <v>203</v>
      </c>
      <c r="L118" s="3">
        <v>3</v>
      </c>
      <c r="M118" s="3">
        <v>1</v>
      </c>
      <c r="N118" s="3" t="s">
        <v>5</v>
      </c>
    </row>
    <row r="119" spans="1:14" ht="12.75">
      <c r="A119" s="3">
        <v>50</v>
      </c>
      <c r="B119" s="3">
        <f>IF(Source!F119&lt;&gt;0,1,0)</f>
        <v>0</v>
      </c>
      <c r="C119" s="3">
        <v>0</v>
      </c>
      <c r="D119" s="3">
        <v>1</v>
      </c>
      <c r="E119" s="3">
        <v>204</v>
      </c>
      <c r="F119" s="3">
        <f>Source!R114</f>
        <v>0</v>
      </c>
      <c r="G119" s="3" t="s">
        <v>111</v>
      </c>
      <c r="H119" s="3" t="s">
        <v>112</v>
      </c>
      <c r="I119" s="3"/>
      <c r="J119" s="3"/>
      <c r="K119" s="3">
        <v>204</v>
      </c>
      <c r="L119" s="3">
        <v>4</v>
      </c>
      <c r="M119" s="3">
        <v>1</v>
      </c>
      <c r="N119" s="3" t="s">
        <v>5</v>
      </c>
    </row>
    <row r="120" spans="1:14" ht="12.75">
      <c r="A120" s="3">
        <v>50</v>
      </c>
      <c r="B120" s="3">
        <f>IF(Source!F120&lt;&gt;0,1,0)</f>
        <v>0</v>
      </c>
      <c r="C120" s="3">
        <v>0</v>
      </c>
      <c r="D120" s="3">
        <v>1</v>
      </c>
      <c r="E120" s="3">
        <v>205</v>
      </c>
      <c r="F120" s="3">
        <f>Source!S114</f>
        <v>0</v>
      </c>
      <c r="G120" s="3" t="s">
        <v>113</v>
      </c>
      <c r="H120" s="3" t="s">
        <v>114</v>
      </c>
      <c r="I120" s="3"/>
      <c r="J120" s="3"/>
      <c r="K120" s="3">
        <v>205</v>
      </c>
      <c r="L120" s="3">
        <v>5</v>
      </c>
      <c r="M120" s="3">
        <v>1</v>
      </c>
      <c r="N120" s="3" t="s">
        <v>5</v>
      </c>
    </row>
    <row r="121" spans="1:14" ht="12.75">
      <c r="A121" s="3">
        <v>50</v>
      </c>
      <c r="B121" s="3">
        <f>IF(Source!F121&lt;&gt;0,1,0)</f>
        <v>0</v>
      </c>
      <c r="C121" s="3">
        <v>0</v>
      </c>
      <c r="D121" s="3">
        <v>1</v>
      </c>
      <c r="E121" s="3">
        <v>206</v>
      </c>
      <c r="F121" s="3">
        <f>Source!T114</f>
        <v>0</v>
      </c>
      <c r="G121" s="3" t="s">
        <v>115</v>
      </c>
      <c r="H121" s="3" t="s">
        <v>116</v>
      </c>
      <c r="I121" s="3"/>
      <c r="J121" s="3"/>
      <c r="K121" s="3">
        <v>206</v>
      </c>
      <c r="L121" s="3">
        <v>6</v>
      </c>
      <c r="M121" s="3">
        <v>1</v>
      </c>
      <c r="N121" s="3" t="s">
        <v>5</v>
      </c>
    </row>
    <row r="122" spans="1:14" ht="12.75">
      <c r="A122" s="3">
        <v>50</v>
      </c>
      <c r="B122" s="3">
        <f>IF(Source!F122&lt;&gt;0,1,0)</f>
        <v>0</v>
      </c>
      <c r="C122" s="3">
        <v>0</v>
      </c>
      <c r="D122" s="3">
        <v>1</v>
      </c>
      <c r="E122" s="3">
        <v>207</v>
      </c>
      <c r="F122" s="3">
        <f>Source!U114</f>
        <v>0</v>
      </c>
      <c r="G122" s="3" t="s">
        <v>117</v>
      </c>
      <c r="H122" s="3" t="s">
        <v>118</v>
      </c>
      <c r="I122" s="3"/>
      <c r="J122" s="3"/>
      <c r="K122" s="3">
        <v>207</v>
      </c>
      <c r="L122" s="3">
        <v>7</v>
      </c>
      <c r="M122" s="3">
        <v>1</v>
      </c>
      <c r="N122" s="3" t="s">
        <v>5</v>
      </c>
    </row>
    <row r="123" spans="1:14" ht="12.75">
      <c r="A123" s="3">
        <v>50</v>
      </c>
      <c r="B123" s="3">
        <f>IF(Source!F123&lt;&gt;0,1,0)</f>
        <v>0</v>
      </c>
      <c r="C123" s="3">
        <v>0</v>
      </c>
      <c r="D123" s="3">
        <v>1</v>
      </c>
      <c r="E123" s="3">
        <v>208</v>
      </c>
      <c r="F123" s="3">
        <f>Source!V114</f>
        <v>0</v>
      </c>
      <c r="G123" s="3" t="s">
        <v>119</v>
      </c>
      <c r="H123" s="3" t="s">
        <v>120</v>
      </c>
      <c r="I123" s="3"/>
      <c r="J123" s="3"/>
      <c r="K123" s="3">
        <v>208</v>
      </c>
      <c r="L123" s="3">
        <v>8</v>
      </c>
      <c r="M123" s="3">
        <v>1</v>
      </c>
      <c r="N123" s="3" t="s">
        <v>5</v>
      </c>
    </row>
    <row r="124" spans="1:14" ht="12.75">
      <c r="A124" s="3">
        <v>50</v>
      </c>
      <c r="B124" s="3">
        <f>IF(Source!F124&lt;&gt;0,1,0)</f>
        <v>0</v>
      </c>
      <c r="C124" s="3">
        <v>0</v>
      </c>
      <c r="D124" s="3">
        <v>1</v>
      </c>
      <c r="E124" s="3">
        <v>209</v>
      </c>
      <c r="F124" s="3">
        <f>Source!W114</f>
        <v>0</v>
      </c>
      <c r="G124" s="3" t="s">
        <v>121</v>
      </c>
      <c r="H124" s="3" t="s">
        <v>122</v>
      </c>
      <c r="I124" s="3"/>
      <c r="J124" s="3"/>
      <c r="K124" s="3">
        <v>209</v>
      </c>
      <c r="L124" s="3">
        <v>9</v>
      </c>
      <c r="M124" s="3">
        <v>1</v>
      </c>
      <c r="N124" s="3" t="s">
        <v>5</v>
      </c>
    </row>
    <row r="125" spans="1:14" ht="12.75">
      <c r="A125" s="3">
        <v>50</v>
      </c>
      <c r="B125" s="3">
        <f>IF(Source!F125&lt;&gt;0,1,0)</f>
        <v>0</v>
      </c>
      <c r="C125" s="3">
        <v>0</v>
      </c>
      <c r="D125" s="3">
        <v>1</v>
      </c>
      <c r="E125" s="3">
        <v>210</v>
      </c>
      <c r="F125" s="3">
        <f>Source!X114</f>
        <v>0</v>
      </c>
      <c r="G125" s="3" t="s">
        <v>123</v>
      </c>
      <c r="H125" s="3" t="s">
        <v>124</v>
      </c>
      <c r="I125" s="3"/>
      <c r="J125" s="3"/>
      <c r="K125" s="3">
        <v>210</v>
      </c>
      <c r="L125" s="3">
        <v>10</v>
      </c>
      <c r="M125" s="3">
        <v>1</v>
      </c>
      <c r="N125" s="3" t="s">
        <v>5</v>
      </c>
    </row>
    <row r="126" spans="1:14" ht="12.75">
      <c r="A126" s="3">
        <v>50</v>
      </c>
      <c r="B126" s="3">
        <v>1</v>
      </c>
      <c r="C126" s="3">
        <v>0</v>
      </c>
      <c r="D126" s="3">
        <v>1</v>
      </c>
      <c r="E126" s="3">
        <v>211</v>
      </c>
      <c r="F126" s="3">
        <f>Source!Y114</f>
        <v>0</v>
      </c>
      <c r="G126" s="3" t="s">
        <v>125</v>
      </c>
      <c r="H126" s="3" t="s">
        <v>126</v>
      </c>
      <c r="I126" s="3"/>
      <c r="J126" s="3"/>
      <c r="K126" s="3">
        <v>211</v>
      </c>
      <c r="L126" s="3">
        <v>11</v>
      </c>
      <c r="M126" s="3">
        <v>0</v>
      </c>
      <c r="N126" s="3" t="s">
        <v>5</v>
      </c>
    </row>
    <row r="128" spans="1:39" ht="12.75">
      <c r="A128" s="2">
        <v>51</v>
      </c>
      <c r="B128" s="2">
        <f>B20</f>
        <v>1</v>
      </c>
      <c r="C128" s="2">
        <f>A20</f>
        <v>3</v>
      </c>
      <c r="D128" s="2">
        <f>ROW(A20)</f>
        <v>20</v>
      </c>
      <c r="E128" s="2"/>
      <c r="F128" s="2" t="str">
        <f>IF(F20&lt;&gt;"",F20,"")</f>
        <v>Новая локальная смета</v>
      </c>
      <c r="G128" s="2" t="str">
        <f>IF(G20&lt;&gt;"",G20,"")</f>
        <v>на Газооборудование</v>
      </c>
      <c r="H128" s="2"/>
      <c r="I128" s="2"/>
      <c r="J128" s="2"/>
      <c r="K128" s="2"/>
      <c r="L128" s="2"/>
      <c r="M128" s="2"/>
      <c r="N128" s="2"/>
      <c r="O128" s="2">
        <f aca="true" t="shared" si="47" ref="O128:Y128">ROUND(O50+O71+O92+O114+AB128,2)</f>
        <v>24690.55</v>
      </c>
      <c r="P128" s="2">
        <f t="shared" si="47"/>
        <v>24007.48</v>
      </c>
      <c r="Q128" s="2">
        <f t="shared" si="47"/>
        <v>76.12</v>
      </c>
      <c r="R128" s="2">
        <f t="shared" si="47"/>
        <v>10.07</v>
      </c>
      <c r="S128" s="2">
        <f t="shared" si="47"/>
        <v>606.95</v>
      </c>
      <c r="T128" s="2">
        <f t="shared" si="47"/>
        <v>0</v>
      </c>
      <c r="U128" s="2">
        <f t="shared" si="47"/>
        <v>54.31</v>
      </c>
      <c r="V128" s="2">
        <f t="shared" si="47"/>
        <v>0.68</v>
      </c>
      <c r="W128" s="2">
        <f t="shared" si="47"/>
        <v>0</v>
      </c>
      <c r="X128" s="2">
        <f t="shared" si="47"/>
        <v>753.44</v>
      </c>
      <c r="Y128" s="2">
        <f t="shared" si="47"/>
        <v>487.53</v>
      </c>
      <c r="Z128" s="2"/>
      <c r="AA128" s="2"/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1</v>
      </c>
      <c r="E130" s="3">
        <v>201</v>
      </c>
      <c r="F130" s="3">
        <f>Source!O128</f>
        <v>24690.55</v>
      </c>
      <c r="G130" s="3" t="s">
        <v>105</v>
      </c>
      <c r="H130" s="3" t="s">
        <v>106</v>
      </c>
      <c r="I130" s="3"/>
      <c r="J130" s="3"/>
      <c r="K130" s="3">
        <v>201</v>
      </c>
      <c r="L130" s="3">
        <v>1</v>
      </c>
      <c r="M130" s="3">
        <v>1</v>
      </c>
      <c r="N130" s="3" t="s">
        <v>5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1</v>
      </c>
      <c r="E131" s="3">
        <v>202</v>
      </c>
      <c r="F131" s="3">
        <f>Source!P128</f>
        <v>24007.48</v>
      </c>
      <c r="G131" s="3" t="s">
        <v>107</v>
      </c>
      <c r="H131" s="3" t="s">
        <v>108</v>
      </c>
      <c r="I131" s="3"/>
      <c r="J131" s="3"/>
      <c r="K131" s="3">
        <v>202</v>
      </c>
      <c r="L131" s="3">
        <v>2</v>
      </c>
      <c r="M131" s="3">
        <v>1</v>
      </c>
      <c r="N131" s="3" t="s">
        <v>5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1</v>
      </c>
      <c r="E132" s="3">
        <v>203</v>
      </c>
      <c r="F132" s="3">
        <f>Source!Q128</f>
        <v>76.12</v>
      </c>
      <c r="G132" s="3" t="s">
        <v>109</v>
      </c>
      <c r="H132" s="3" t="s">
        <v>110</v>
      </c>
      <c r="I132" s="3"/>
      <c r="J132" s="3"/>
      <c r="K132" s="3">
        <v>203</v>
      </c>
      <c r="L132" s="3">
        <v>3</v>
      </c>
      <c r="M132" s="3">
        <v>1</v>
      </c>
      <c r="N132" s="3" t="s">
        <v>5</v>
      </c>
    </row>
    <row r="133" spans="1:14" ht="12.75">
      <c r="A133" s="3">
        <v>50</v>
      </c>
      <c r="B133" s="3">
        <f>IF(Source!F133&lt;&gt;0,1,0)</f>
        <v>1</v>
      </c>
      <c r="C133" s="3">
        <v>0</v>
      </c>
      <c r="D133" s="3">
        <v>1</v>
      </c>
      <c r="E133" s="3">
        <v>204</v>
      </c>
      <c r="F133" s="3">
        <f>Source!R128</f>
        <v>10.07</v>
      </c>
      <c r="G133" s="3" t="s">
        <v>111</v>
      </c>
      <c r="H133" s="3" t="s">
        <v>112</v>
      </c>
      <c r="I133" s="3"/>
      <c r="J133" s="3"/>
      <c r="K133" s="3">
        <v>204</v>
      </c>
      <c r="L133" s="3">
        <v>4</v>
      </c>
      <c r="M133" s="3">
        <v>1</v>
      </c>
      <c r="N133" s="3" t="s">
        <v>5</v>
      </c>
    </row>
    <row r="134" spans="1:14" ht="12.75">
      <c r="A134" s="3">
        <v>50</v>
      </c>
      <c r="B134" s="3">
        <f>IF(Source!F134&lt;&gt;0,1,0)</f>
        <v>1</v>
      </c>
      <c r="C134" s="3">
        <v>0</v>
      </c>
      <c r="D134" s="3">
        <v>1</v>
      </c>
      <c r="E134" s="3">
        <v>205</v>
      </c>
      <c r="F134" s="3">
        <f>Source!S128</f>
        <v>606.95</v>
      </c>
      <c r="G134" s="3" t="s">
        <v>113</v>
      </c>
      <c r="H134" s="3" t="s">
        <v>114</v>
      </c>
      <c r="I134" s="3"/>
      <c r="J134" s="3"/>
      <c r="K134" s="3">
        <v>205</v>
      </c>
      <c r="L134" s="3">
        <v>5</v>
      </c>
      <c r="M134" s="3">
        <v>1</v>
      </c>
      <c r="N134" s="3" t="s">
        <v>5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1</v>
      </c>
      <c r="E135" s="3">
        <v>206</v>
      </c>
      <c r="F135" s="3">
        <f>Source!T128</f>
        <v>0</v>
      </c>
      <c r="G135" s="3" t="s">
        <v>115</v>
      </c>
      <c r="H135" s="3" t="s">
        <v>116</v>
      </c>
      <c r="I135" s="3"/>
      <c r="J135" s="3"/>
      <c r="K135" s="3">
        <v>206</v>
      </c>
      <c r="L135" s="3">
        <v>6</v>
      </c>
      <c r="M135" s="3">
        <v>1</v>
      </c>
      <c r="N135" s="3" t="s">
        <v>5</v>
      </c>
    </row>
    <row r="136" spans="1:14" ht="12.75">
      <c r="A136" s="3">
        <v>50</v>
      </c>
      <c r="B136" s="3">
        <f>IF(Source!F136&lt;&gt;0,1,0)</f>
        <v>1</v>
      </c>
      <c r="C136" s="3">
        <v>0</v>
      </c>
      <c r="D136" s="3">
        <v>1</v>
      </c>
      <c r="E136" s="3">
        <v>207</v>
      </c>
      <c r="F136" s="3">
        <f>Source!U128</f>
        <v>54.31</v>
      </c>
      <c r="G136" s="3" t="s">
        <v>117</v>
      </c>
      <c r="H136" s="3" t="s">
        <v>118</v>
      </c>
      <c r="I136" s="3"/>
      <c r="J136" s="3"/>
      <c r="K136" s="3">
        <v>207</v>
      </c>
      <c r="L136" s="3">
        <v>7</v>
      </c>
      <c r="M136" s="3">
        <v>1</v>
      </c>
      <c r="N136" s="3" t="s">
        <v>5</v>
      </c>
    </row>
    <row r="137" spans="1:14" ht="12.75">
      <c r="A137" s="3">
        <v>50</v>
      </c>
      <c r="B137" s="3">
        <f>IF(Source!F137&lt;&gt;0,1,0)</f>
        <v>1</v>
      </c>
      <c r="C137" s="3">
        <v>0</v>
      </c>
      <c r="D137" s="3">
        <v>1</v>
      </c>
      <c r="E137" s="3">
        <v>208</v>
      </c>
      <c r="F137" s="3">
        <f>Source!V128</f>
        <v>0.68</v>
      </c>
      <c r="G137" s="3" t="s">
        <v>119</v>
      </c>
      <c r="H137" s="3" t="s">
        <v>120</v>
      </c>
      <c r="I137" s="3"/>
      <c r="J137" s="3"/>
      <c r="K137" s="3">
        <v>208</v>
      </c>
      <c r="L137" s="3">
        <v>8</v>
      </c>
      <c r="M137" s="3">
        <v>1</v>
      </c>
      <c r="N137" s="3" t="s">
        <v>5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1</v>
      </c>
      <c r="E138" s="3">
        <v>209</v>
      </c>
      <c r="F138" s="3">
        <f>Source!W128</f>
        <v>0</v>
      </c>
      <c r="G138" s="3" t="s">
        <v>121</v>
      </c>
      <c r="H138" s="3" t="s">
        <v>122</v>
      </c>
      <c r="I138" s="3"/>
      <c r="J138" s="3"/>
      <c r="K138" s="3">
        <v>209</v>
      </c>
      <c r="L138" s="3">
        <v>9</v>
      </c>
      <c r="M138" s="3">
        <v>1</v>
      </c>
      <c r="N138" s="3" t="s">
        <v>5</v>
      </c>
    </row>
    <row r="139" spans="1:14" ht="12.75">
      <c r="A139" s="3">
        <v>50</v>
      </c>
      <c r="B139" s="3">
        <f>IF(Source!F139&lt;&gt;0,1,0)</f>
        <v>1</v>
      </c>
      <c r="C139" s="3">
        <v>0</v>
      </c>
      <c r="D139" s="3">
        <v>1</v>
      </c>
      <c r="E139" s="3">
        <v>210</v>
      </c>
      <c r="F139" s="3">
        <f>Source!X128</f>
        <v>753.44</v>
      </c>
      <c r="G139" s="3" t="s">
        <v>123</v>
      </c>
      <c r="H139" s="3" t="s">
        <v>124</v>
      </c>
      <c r="I139" s="3"/>
      <c r="J139" s="3"/>
      <c r="K139" s="3">
        <v>210</v>
      </c>
      <c r="L139" s="3">
        <v>10</v>
      </c>
      <c r="M139" s="3">
        <v>1</v>
      </c>
      <c r="N139" s="3" t="s">
        <v>5</v>
      </c>
    </row>
    <row r="140" spans="1:14" ht="12.75">
      <c r="A140" s="3">
        <v>50</v>
      </c>
      <c r="B140" s="3">
        <v>1</v>
      </c>
      <c r="C140" s="3">
        <v>0</v>
      </c>
      <c r="D140" s="3">
        <v>1</v>
      </c>
      <c r="E140" s="3">
        <v>211</v>
      </c>
      <c r="F140" s="3">
        <f>Source!Y128</f>
        <v>487.53</v>
      </c>
      <c r="G140" s="3" t="s">
        <v>125</v>
      </c>
      <c r="H140" s="3" t="s">
        <v>126</v>
      </c>
      <c r="I140" s="3"/>
      <c r="J140" s="3"/>
      <c r="K140" s="3">
        <v>211</v>
      </c>
      <c r="L140" s="3">
        <v>11</v>
      </c>
      <c r="M140" s="3">
        <v>0</v>
      </c>
      <c r="N140" s="3" t="s">
        <v>5</v>
      </c>
    </row>
    <row r="142" spans="1:39" ht="12.75">
      <c r="A142" s="2">
        <v>51</v>
      </c>
      <c r="B142" s="2">
        <f>B12</f>
        <v>1</v>
      </c>
      <c r="C142" s="2">
        <f>A12</f>
        <v>1</v>
      </c>
      <c r="D142" s="2">
        <f>ROW(A12)</f>
        <v>12</v>
      </c>
      <c r="E142" s="2"/>
      <c r="F142" s="2" t="str">
        <f>IF(F12&lt;&gt;"",F12,"")</f>
        <v>Газооборудование</v>
      </c>
      <c r="G142" s="2" t="str">
        <f>IF(G12&lt;&gt;"",G12,"")</f>
        <v>Котельная в с. Филипповка Мелекесского района</v>
      </c>
      <c r="H142" s="2"/>
      <c r="I142" s="2"/>
      <c r="J142" s="2"/>
      <c r="K142" s="2"/>
      <c r="L142" s="2"/>
      <c r="M142" s="2"/>
      <c r="N142" s="2"/>
      <c r="O142" s="2">
        <f aca="true" t="shared" si="48" ref="O142:Y142">ROUND(O128,2)</f>
        <v>24690.55</v>
      </c>
      <c r="P142" s="2">
        <f t="shared" si="48"/>
        <v>24007.48</v>
      </c>
      <c r="Q142" s="2">
        <f t="shared" si="48"/>
        <v>76.12</v>
      </c>
      <c r="R142" s="2">
        <f t="shared" si="48"/>
        <v>10.07</v>
      </c>
      <c r="S142" s="2">
        <f t="shared" si="48"/>
        <v>606.95</v>
      </c>
      <c r="T142" s="2">
        <f t="shared" si="48"/>
        <v>0</v>
      </c>
      <c r="U142" s="2">
        <f t="shared" si="48"/>
        <v>54.31</v>
      </c>
      <c r="V142" s="2">
        <f t="shared" si="48"/>
        <v>0.68</v>
      </c>
      <c r="W142" s="2">
        <f t="shared" si="48"/>
        <v>0</v>
      </c>
      <c r="X142" s="2">
        <f t="shared" si="48"/>
        <v>753.44</v>
      </c>
      <c r="Y142" s="2">
        <f t="shared" si="48"/>
        <v>487.53</v>
      </c>
      <c r="Z142" s="2"/>
      <c r="AA142" s="2"/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</row>
    <row r="144" spans="1:14" ht="12.75">
      <c r="A144" s="3">
        <v>50</v>
      </c>
      <c r="B144" s="3">
        <f>IF(Source!F144&lt;&gt;0,1,0)</f>
        <v>1</v>
      </c>
      <c r="C144" s="3">
        <v>0</v>
      </c>
      <c r="D144" s="3">
        <v>1</v>
      </c>
      <c r="E144" s="3">
        <v>201</v>
      </c>
      <c r="F144" s="3">
        <f>Source!O142</f>
        <v>24690.55</v>
      </c>
      <c r="G144" s="3" t="s">
        <v>105</v>
      </c>
      <c r="H144" s="3" t="s">
        <v>106</v>
      </c>
      <c r="I144" s="3"/>
      <c r="J144" s="3"/>
      <c r="K144" s="3">
        <v>201</v>
      </c>
      <c r="L144" s="3">
        <v>1</v>
      </c>
      <c r="M144" s="3">
        <v>1</v>
      </c>
      <c r="N144" s="3" t="s">
        <v>5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1</v>
      </c>
      <c r="E145" s="3">
        <v>202</v>
      </c>
      <c r="F145" s="3">
        <f>Source!P142</f>
        <v>24007.48</v>
      </c>
      <c r="G145" s="3" t="s">
        <v>107</v>
      </c>
      <c r="H145" s="3" t="s">
        <v>108</v>
      </c>
      <c r="I145" s="3"/>
      <c r="J145" s="3"/>
      <c r="K145" s="3">
        <v>202</v>
      </c>
      <c r="L145" s="3">
        <v>2</v>
      </c>
      <c r="M145" s="3">
        <v>1</v>
      </c>
      <c r="N145" s="3" t="s">
        <v>5</v>
      </c>
    </row>
    <row r="146" spans="1:14" ht="12.75">
      <c r="A146" s="3">
        <v>50</v>
      </c>
      <c r="B146" s="3">
        <f>IF(Source!F146&lt;&gt;0,1,0)</f>
        <v>1</v>
      </c>
      <c r="C146" s="3">
        <v>0</v>
      </c>
      <c r="D146" s="3">
        <v>1</v>
      </c>
      <c r="E146" s="3">
        <v>203</v>
      </c>
      <c r="F146" s="3">
        <f>Source!Q142</f>
        <v>76.12</v>
      </c>
      <c r="G146" s="3" t="s">
        <v>109</v>
      </c>
      <c r="H146" s="3" t="s">
        <v>110</v>
      </c>
      <c r="I146" s="3"/>
      <c r="J146" s="3"/>
      <c r="K146" s="3">
        <v>203</v>
      </c>
      <c r="L146" s="3">
        <v>3</v>
      </c>
      <c r="M146" s="3">
        <v>1</v>
      </c>
      <c r="N146" s="3" t="s">
        <v>5</v>
      </c>
    </row>
    <row r="147" spans="1:14" ht="12.75">
      <c r="A147" s="3">
        <v>50</v>
      </c>
      <c r="B147" s="3">
        <f>IF(Source!F147&lt;&gt;0,1,0)</f>
        <v>1</v>
      </c>
      <c r="C147" s="3">
        <v>0</v>
      </c>
      <c r="D147" s="3">
        <v>1</v>
      </c>
      <c r="E147" s="3">
        <v>204</v>
      </c>
      <c r="F147" s="3">
        <f>Source!R142</f>
        <v>10.07</v>
      </c>
      <c r="G147" s="3" t="s">
        <v>111</v>
      </c>
      <c r="H147" s="3" t="s">
        <v>112</v>
      </c>
      <c r="I147" s="3"/>
      <c r="J147" s="3"/>
      <c r="K147" s="3">
        <v>204</v>
      </c>
      <c r="L147" s="3">
        <v>4</v>
      </c>
      <c r="M147" s="3">
        <v>1</v>
      </c>
      <c r="N147" s="3" t="s">
        <v>5</v>
      </c>
    </row>
    <row r="148" spans="1:14" ht="12.75">
      <c r="A148" s="3">
        <v>50</v>
      </c>
      <c r="B148" s="3">
        <f>IF(Source!F148&lt;&gt;0,1,0)</f>
        <v>1</v>
      </c>
      <c r="C148" s="3">
        <v>0</v>
      </c>
      <c r="D148" s="3">
        <v>1</v>
      </c>
      <c r="E148" s="3">
        <v>0</v>
      </c>
      <c r="F148" s="3">
        <f>Source!S142</f>
        <v>606.95</v>
      </c>
      <c r="G148" s="3" t="s">
        <v>113</v>
      </c>
      <c r="H148" s="3" t="s">
        <v>114</v>
      </c>
      <c r="I148" s="3"/>
      <c r="J148" s="3"/>
      <c r="K148" s="3">
        <v>205</v>
      </c>
      <c r="L148" s="3">
        <v>5</v>
      </c>
      <c r="M148" s="3">
        <v>1</v>
      </c>
      <c r="N148" s="3" t="s">
        <v>5</v>
      </c>
    </row>
    <row r="149" spans="1:14" ht="12.75">
      <c r="A149" s="3">
        <v>50</v>
      </c>
      <c r="B149" s="3">
        <f>IF(Source!F149&lt;&gt;0,1,0)</f>
        <v>0</v>
      </c>
      <c r="C149" s="3">
        <v>0</v>
      </c>
      <c r="D149" s="3">
        <v>1</v>
      </c>
      <c r="E149" s="3">
        <v>206</v>
      </c>
      <c r="F149" s="3">
        <f>Source!T142</f>
        <v>0</v>
      </c>
      <c r="G149" s="3" t="s">
        <v>115</v>
      </c>
      <c r="H149" s="3" t="s">
        <v>116</v>
      </c>
      <c r="I149" s="3"/>
      <c r="J149" s="3"/>
      <c r="K149" s="3">
        <v>206</v>
      </c>
      <c r="L149" s="3">
        <v>6</v>
      </c>
      <c r="M149" s="3">
        <v>1</v>
      </c>
      <c r="N149" s="3" t="s">
        <v>5</v>
      </c>
    </row>
    <row r="150" spans="1:14" ht="12.75">
      <c r="A150" s="3">
        <v>50</v>
      </c>
      <c r="B150" s="3">
        <f>IF(Source!F150&lt;&gt;0,1,0)</f>
        <v>1</v>
      </c>
      <c r="C150" s="3">
        <v>0</v>
      </c>
      <c r="D150" s="3">
        <v>1</v>
      </c>
      <c r="E150" s="3">
        <v>207</v>
      </c>
      <c r="F150" s="3">
        <f>Source!U142</f>
        <v>54.31</v>
      </c>
      <c r="G150" s="3" t="s">
        <v>117</v>
      </c>
      <c r="H150" s="3" t="s">
        <v>118</v>
      </c>
      <c r="I150" s="3"/>
      <c r="J150" s="3"/>
      <c r="K150" s="3">
        <v>207</v>
      </c>
      <c r="L150" s="3">
        <v>7</v>
      </c>
      <c r="M150" s="3">
        <v>1</v>
      </c>
      <c r="N150" s="3" t="s">
        <v>5</v>
      </c>
    </row>
    <row r="151" spans="1:14" ht="12.75">
      <c r="A151" s="3">
        <v>50</v>
      </c>
      <c r="B151" s="3">
        <f>IF(Source!F151&lt;&gt;0,1,0)</f>
        <v>1</v>
      </c>
      <c r="C151" s="3">
        <v>0</v>
      </c>
      <c r="D151" s="3">
        <v>1</v>
      </c>
      <c r="E151" s="3">
        <v>208</v>
      </c>
      <c r="F151" s="3">
        <f>Source!V142</f>
        <v>0.68</v>
      </c>
      <c r="G151" s="3" t="s">
        <v>119</v>
      </c>
      <c r="H151" s="3" t="s">
        <v>120</v>
      </c>
      <c r="I151" s="3"/>
      <c r="J151" s="3"/>
      <c r="K151" s="3">
        <v>208</v>
      </c>
      <c r="L151" s="3">
        <v>8</v>
      </c>
      <c r="M151" s="3">
        <v>1</v>
      </c>
      <c r="N151" s="3" t="s">
        <v>5</v>
      </c>
    </row>
    <row r="152" spans="1:14" ht="12.75">
      <c r="A152" s="3">
        <v>50</v>
      </c>
      <c r="B152" s="3">
        <f>IF(Source!F152&lt;&gt;0,1,0)</f>
        <v>0</v>
      </c>
      <c r="C152" s="3">
        <v>0</v>
      </c>
      <c r="D152" s="3">
        <v>1</v>
      </c>
      <c r="E152" s="3">
        <v>209</v>
      </c>
      <c r="F152" s="3">
        <f>Source!W142</f>
        <v>0</v>
      </c>
      <c r="G152" s="3" t="s">
        <v>121</v>
      </c>
      <c r="H152" s="3" t="s">
        <v>122</v>
      </c>
      <c r="I152" s="3"/>
      <c r="J152" s="3"/>
      <c r="K152" s="3">
        <v>209</v>
      </c>
      <c r="L152" s="3">
        <v>9</v>
      </c>
      <c r="M152" s="3">
        <v>1</v>
      </c>
      <c r="N152" s="3" t="s">
        <v>5</v>
      </c>
    </row>
    <row r="153" spans="1:14" ht="12.75">
      <c r="A153" s="3">
        <v>50</v>
      </c>
      <c r="B153" s="3">
        <f>IF(Source!F153&lt;&gt;0,1,0)</f>
        <v>1</v>
      </c>
      <c r="C153" s="3">
        <v>0</v>
      </c>
      <c r="D153" s="3">
        <v>1</v>
      </c>
      <c r="E153" s="3">
        <v>210</v>
      </c>
      <c r="F153" s="3">
        <f>Source!X142</f>
        <v>753.44</v>
      </c>
      <c r="G153" s="3" t="s">
        <v>123</v>
      </c>
      <c r="H153" s="3" t="s">
        <v>124</v>
      </c>
      <c r="I153" s="3"/>
      <c r="J153" s="3"/>
      <c r="K153" s="3">
        <v>210</v>
      </c>
      <c r="L153" s="3">
        <v>10</v>
      </c>
      <c r="M153" s="3">
        <v>1</v>
      </c>
      <c r="N153" s="3" t="s">
        <v>5</v>
      </c>
    </row>
    <row r="154" spans="1:14" ht="12.75">
      <c r="A154" s="3">
        <v>50</v>
      </c>
      <c r="B154" s="3">
        <v>1</v>
      </c>
      <c r="C154" s="3">
        <v>0</v>
      </c>
      <c r="D154" s="3">
        <v>1</v>
      </c>
      <c r="E154" s="3">
        <v>211</v>
      </c>
      <c r="F154" s="3">
        <f>Source!Y142</f>
        <v>487.53</v>
      </c>
      <c r="G154" s="3" t="s">
        <v>125</v>
      </c>
      <c r="H154" s="3" t="s">
        <v>126</v>
      </c>
      <c r="I154" s="3"/>
      <c r="J154" s="3"/>
      <c r="K154" s="3">
        <v>211</v>
      </c>
      <c r="L154" s="3">
        <v>11</v>
      </c>
      <c r="M154" s="3">
        <v>0</v>
      </c>
      <c r="N154" s="3" t="s">
        <v>5</v>
      </c>
    </row>
    <row r="155" spans="1:14" ht="12.75">
      <c r="A155" s="3">
        <v>50</v>
      </c>
      <c r="B155" s="3">
        <f>IF(Source!F155&lt;&gt;0,1,0)</f>
        <v>1</v>
      </c>
      <c r="C155" s="3">
        <v>0</v>
      </c>
      <c r="D155" s="3">
        <v>2</v>
      </c>
      <c r="E155" s="3">
        <v>0</v>
      </c>
      <c r="F155" s="3">
        <f>ROUND(3.04,2)</f>
        <v>3.04</v>
      </c>
      <c r="G155" s="3" t="s">
        <v>156</v>
      </c>
      <c r="H155" s="3" t="s">
        <v>157</v>
      </c>
      <c r="I155" s="3"/>
      <c r="J155" s="3"/>
      <c r="K155" s="3">
        <v>212</v>
      </c>
      <c r="L155" s="3">
        <v>12</v>
      </c>
      <c r="M155" s="3">
        <v>1</v>
      </c>
      <c r="N155" s="3" t="s">
        <v>5</v>
      </c>
    </row>
    <row r="156" spans="1:14" ht="12.75">
      <c r="A156" s="3">
        <v>50</v>
      </c>
      <c r="B156" s="3">
        <f>IF(Source!F156&lt;&gt;0,1,0)</f>
        <v>1</v>
      </c>
      <c r="C156" s="3">
        <v>0</v>
      </c>
      <c r="D156" s="3">
        <v>2</v>
      </c>
      <c r="E156" s="3">
        <v>0</v>
      </c>
      <c r="F156" s="3">
        <f>ROUND(2.6,2)</f>
        <v>2.6</v>
      </c>
      <c r="G156" s="3" t="s">
        <v>158</v>
      </c>
      <c r="H156" s="3" t="s">
        <v>159</v>
      </c>
      <c r="I156" s="3"/>
      <c r="J156" s="3"/>
      <c r="K156" s="3">
        <v>212</v>
      </c>
      <c r="L156" s="3">
        <v>13</v>
      </c>
      <c r="M156" s="3">
        <v>1</v>
      </c>
      <c r="N156" s="3" t="s">
        <v>5</v>
      </c>
    </row>
    <row r="157" spans="1:14" ht="12.75">
      <c r="A157" s="3">
        <v>50</v>
      </c>
      <c r="B157" s="3">
        <f>IF(Source!F157&lt;&gt;0,1,0)</f>
        <v>1</v>
      </c>
      <c r="C157" s="3">
        <v>0</v>
      </c>
      <c r="D157" s="3">
        <v>2</v>
      </c>
      <c r="E157" s="3">
        <v>0</v>
      </c>
      <c r="F157" s="3">
        <f>ROUND(4.36,2)</f>
        <v>4.36</v>
      </c>
      <c r="G157" s="3" t="s">
        <v>160</v>
      </c>
      <c r="H157" s="3" t="s">
        <v>161</v>
      </c>
      <c r="I157" s="3"/>
      <c r="J157" s="3"/>
      <c r="K157" s="3">
        <v>212</v>
      </c>
      <c r="L157" s="3">
        <v>14</v>
      </c>
      <c r="M157" s="3">
        <v>1</v>
      </c>
      <c r="N157" s="3" t="s">
        <v>5</v>
      </c>
    </row>
    <row r="158" spans="1:14" ht="12.75">
      <c r="A158" s="3">
        <v>50</v>
      </c>
      <c r="B158" s="3">
        <f>IF(Source!F158&lt;&gt;0,1,0)</f>
        <v>0</v>
      </c>
      <c r="C158" s="3">
        <v>0</v>
      </c>
      <c r="D158" s="3">
        <v>2</v>
      </c>
      <c r="E158" s="3">
        <v>0</v>
      </c>
      <c r="F158" s="3">
        <v>0</v>
      </c>
      <c r="G158" s="3" t="s">
        <v>162</v>
      </c>
      <c r="H158" s="3" t="s">
        <v>163</v>
      </c>
      <c r="I158" s="3"/>
      <c r="J158" s="3"/>
      <c r="K158" s="3">
        <v>212</v>
      </c>
      <c r="L158" s="3">
        <v>15</v>
      </c>
      <c r="M158" s="3">
        <v>1</v>
      </c>
      <c r="N158" s="3" t="s">
        <v>5</v>
      </c>
    </row>
    <row r="159" spans="1:14" ht="12.75">
      <c r="A159" s="3">
        <v>50</v>
      </c>
      <c r="B159" s="3">
        <f>IF(Source!F159&lt;&gt;0,1,0)</f>
        <v>1</v>
      </c>
      <c r="C159" s="3">
        <v>0</v>
      </c>
      <c r="D159" s="3">
        <v>2</v>
      </c>
      <c r="E159" s="3">
        <v>0</v>
      </c>
      <c r="F159" s="3">
        <f>ROUND(IF(Source!F161=0,Source!F160+Source!F163+Source!F165,Source!F162+Source!F163+Source!F165),2)</f>
        <v>75826.95</v>
      </c>
      <c r="G159" s="3" t="s">
        <v>164</v>
      </c>
      <c r="H159" s="3" t="s">
        <v>165</v>
      </c>
      <c r="I159" s="3"/>
      <c r="J159" s="3"/>
      <c r="K159" s="3">
        <v>212</v>
      </c>
      <c r="L159" s="3">
        <v>16</v>
      </c>
      <c r="M159" s="3">
        <v>1</v>
      </c>
      <c r="N159" s="3" t="s">
        <v>5</v>
      </c>
    </row>
    <row r="160" spans="1:14" ht="12.75">
      <c r="A160" s="3">
        <v>50</v>
      </c>
      <c r="B160" s="3">
        <f>IF(Source!F160&lt;&gt;0,1,0)</f>
        <v>1</v>
      </c>
      <c r="C160" s="3">
        <v>0</v>
      </c>
      <c r="D160" s="3">
        <v>2</v>
      </c>
      <c r="E160" s="3">
        <v>0</v>
      </c>
      <c r="F160" s="3">
        <f>ROUND(Source!F155*Source!F145,2)</f>
        <v>72982.74</v>
      </c>
      <c r="G160" s="3" t="s">
        <v>166</v>
      </c>
      <c r="H160" s="3" t="s">
        <v>167</v>
      </c>
      <c r="I160" s="3"/>
      <c r="J160" s="3"/>
      <c r="K160" s="3">
        <v>212</v>
      </c>
      <c r="L160" s="3">
        <v>17</v>
      </c>
      <c r="M160" s="3">
        <v>1</v>
      </c>
      <c r="N160" s="3" t="s">
        <v>5</v>
      </c>
    </row>
    <row r="161" spans="1:14" ht="12.75">
      <c r="A161" s="3">
        <v>50</v>
      </c>
      <c r="B161" s="3">
        <f>IF(Source!F161&lt;&gt;0,1,0)</f>
        <v>0</v>
      </c>
      <c r="C161" s="3">
        <v>0</v>
      </c>
      <c r="D161" s="3">
        <v>2</v>
      </c>
      <c r="E161" s="3">
        <v>0</v>
      </c>
      <c r="F161" s="3">
        <v>0</v>
      </c>
      <c r="G161" s="3" t="s">
        <v>168</v>
      </c>
      <c r="H161" s="3" t="s">
        <v>169</v>
      </c>
      <c r="I161" s="3"/>
      <c r="J161" s="3"/>
      <c r="K161" s="3">
        <v>212</v>
      </c>
      <c r="L161" s="3">
        <v>18</v>
      </c>
      <c r="M161" s="3">
        <v>1</v>
      </c>
      <c r="N161" s="3" t="s">
        <v>5</v>
      </c>
    </row>
    <row r="162" spans="1:14" ht="12.75">
      <c r="A162" s="3">
        <v>50</v>
      </c>
      <c r="B162" s="3">
        <f>IF(Source!F162&lt;&gt;0,1,0)</f>
        <v>0</v>
      </c>
      <c r="C162" s="3">
        <v>0</v>
      </c>
      <c r="D162" s="3">
        <v>2</v>
      </c>
      <c r="E162" s="3">
        <v>0</v>
      </c>
      <c r="F162" s="3">
        <f>ROUND(IF(Source!F161=0,0,Source!F160*(100+Source!F161)/100),2)</f>
        <v>0</v>
      </c>
      <c r="G162" s="3" t="s">
        <v>170</v>
      </c>
      <c r="H162" s="3" t="s">
        <v>171</v>
      </c>
      <c r="I162" s="3"/>
      <c r="J162" s="3"/>
      <c r="K162" s="3">
        <v>212</v>
      </c>
      <c r="L162" s="3">
        <v>19</v>
      </c>
      <c r="M162" s="3">
        <v>1</v>
      </c>
      <c r="N162" s="3" t="s">
        <v>5</v>
      </c>
    </row>
    <row r="163" spans="1:14" ht="12.75">
      <c r="A163" s="3">
        <v>50</v>
      </c>
      <c r="B163" s="3">
        <f>IF(Source!F163&lt;&gt;0,1,0)</f>
        <v>1</v>
      </c>
      <c r="C163" s="3">
        <v>0</v>
      </c>
      <c r="D163" s="3">
        <v>2</v>
      </c>
      <c r="E163" s="3">
        <v>0</v>
      </c>
      <c r="F163" s="3">
        <f>ROUND(Source!F156*Source!F146,2)</f>
        <v>197.91</v>
      </c>
      <c r="G163" s="3" t="s">
        <v>172</v>
      </c>
      <c r="H163" s="3" t="s">
        <v>173</v>
      </c>
      <c r="I163" s="3"/>
      <c r="J163" s="3"/>
      <c r="K163" s="3">
        <v>212</v>
      </c>
      <c r="L163" s="3">
        <v>20</v>
      </c>
      <c r="M163" s="3">
        <v>1</v>
      </c>
      <c r="N163" s="3" t="s">
        <v>5</v>
      </c>
    </row>
    <row r="164" spans="1:14" ht="12.75">
      <c r="A164" s="3">
        <v>50</v>
      </c>
      <c r="B164" s="3">
        <f>IF(Source!F164&lt;&gt;0,1,0)</f>
        <v>1</v>
      </c>
      <c r="C164" s="3">
        <v>0</v>
      </c>
      <c r="D164" s="3">
        <v>2</v>
      </c>
      <c r="E164" s="3">
        <v>0</v>
      </c>
      <c r="F164" s="3">
        <f>ROUND(Source!F156*Source!F147,2)</f>
        <v>26.18</v>
      </c>
      <c r="G164" s="3" t="s">
        <v>174</v>
      </c>
      <c r="H164" s="3" t="s">
        <v>175</v>
      </c>
      <c r="I164" s="3"/>
      <c r="J164" s="3"/>
      <c r="K164" s="3">
        <v>212</v>
      </c>
      <c r="L164" s="3">
        <v>21</v>
      </c>
      <c r="M164" s="3">
        <v>1</v>
      </c>
      <c r="N164" s="3" t="s">
        <v>5</v>
      </c>
    </row>
    <row r="165" spans="1:14" ht="12.75">
      <c r="A165" s="3">
        <v>50</v>
      </c>
      <c r="B165" s="3">
        <f>IF(Source!F165&lt;&gt;0,1,0)</f>
        <v>1</v>
      </c>
      <c r="C165" s="3">
        <v>0</v>
      </c>
      <c r="D165" s="3">
        <v>2</v>
      </c>
      <c r="E165" s="3">
        <v>205</v>
      </c>
      <c r="F165" s="3">
        <f>ROUND(Source!F157*Source!F148,2)</f>
        <v>2646.3</v>
      </c>
      <c r="G165" s="3" t="s">
        <v>176</v>
      </c>
      <c r="H165" s="3" t="s">
        <v>177</v>
      </c>
      <c r="I165" s="3"/>
      <c r="J165" s="3"/>
      <c r="K165" s="3">
        <v>212</v>
      </c>
      <c r="L165" s="3">
        <v>22</v>
      </c>
      <c r="M165" s="3">
        <v>1</v>
      </c>
      <c r="N165" s="3" t="s">
        <v>5</v>
      </c>
    </row>
    <row r="166" spans="1:14" ht="12.75">
      <c r="A166" s="3">
        <v>50</v>
      </c>
      <c r="B166" s="3">
        <f>IF(Source!F166&lt;&gt;0,1,0)</f>
        <v>1</v>
      </c>
      <c r="C166" s="3">
        <v>0</v>
      </c>
      <c r="D166" s="3">
        <v>2</v>
      </c>
      <c r="E166" s="3">
        <v>0</v>
      </c>
      <c r="F166" s="3">
        <f>ROUND(IF(Source!F158=0,((Source!F164+Source!F165)/(Source!F147+Source!F148))*Source!F153,((Source!F164+Source!F165)/(Source!F147+Source!F148))*Source!F153*Source!F158),2)</f>
        <v>3263.35</v>
      </c>
      <c r="G166" s="3" t="s">
        <v>178</v>
      </c>
      <c r="H166" s="3" t="s">
        <v>179</v>
      </c>
      <c r="I166" s="3"/>
      <c r="J166" s="3"/>
      <c r="K166" s="3">
        <v>212</v>
      </c>
      <c r="L166" s="3">
        <v>23</v>
      </c>
      <c r="M166" s="3">
        <v>1</v>
      </c>
      <c r="N166" s="3" t="s">
        <v>5</v>
      </c>
    </row>
    <row r="167" spans="1:14" ht="12.75">
      <c r="A167" s="3">
        <v>50</v>
      </c>
      <c r="B167" s="3">
        <f>IF(Source!F167&lt;&gt;0,1,0)</f>
        <v>1</v>
      </c>
      <c r="C167" s="3">
        <v>0</v>
      </c>
      <c r="D167" s="3">
        <v>2</v>
      </c>
      <c r="E167" s="3">
        <v>0</v>
      </c>
      <c r="F167" s="3">
        <f>ROUND(((Source!F164+Source!F165)/(Source!F147+Source!F148))*Source!F154,2)</f>
        <v>2111.62</v>
      </c>
      <c r="G167" s="3" t="s">
        <v>180</v>
      </c>
      <c r="H167" s="3" t="s">
        <v>181</v>
      </c>
      <c r="I167" s="3"/>
      <c r="J167" s="3"/>
      <c r="K167" s="3">
        <v>212</v>
      </c>
      <c r="L167" s="3">
        <v>24</v>
      </c>
      <c r="M167" s="3">
        <v>1</v>
      </c>
      <c r="N167" s="3" t="s">
        <v>5</v>
      </c>
    </row>
    <row r="168" spans="1:14" ht="12.75">
      <c r="A168" s="3">
        <v>50</v>
      </c>
      <c r="B168" s="3">
        <v>1</v>
      </c>
      <c r="C168" s="3">
        <v>0</v>
      </c>
      <c r="D168" s="3">
        <v>2</v>
      </c>
      <c r="E168" s="3">
        <v>0</v>
      </c>
      <c r="F168" s="3">
        <f>ROUND(Source!F167+Source!F166+Source!F159,2)</f>
        <v>81201.92</v>
      </c>
      <c r="G168" s="3" t="s">
        <v>182</v>
      </c>
      <c r="H168" s="3" t="s">
        <v>183</v>
      </c>
      <c r="I168" s="3"/>
      <c r="J168" s="3"/>
      <c r="K168" s="3">
        <v>212</v>
      </c>
      <c r="L168" s="3">
        <v>25</v>
      </c>
      <c r="M168" s="3">
        <v>0</v>
      </c>
      <c r="N168" s="3" t="s">
        <v>5</v>
      </c>
    </row>
    <row r="169" spans="1:14" ht="12.75">
      <c r="A169" s="3">
        <v>50</v>
      </c>
      <c r="B169" s="3">
        <v>1</v>
      </c>
      <c r="C169" s="3">
        <v>0</v>
      </c>
      <c r="D169" s="3">
        <v>2</v>
      </c>
      <c r="E169" s="3">
        <v>0</v>
      </c>
      <c r="F169" s="3">
        <f>ROUND((Source!F159+Source!F166+Source!F167-Source!F116*Source!F155)*0.031,2)</f>
        <v>1365.54</v>
      </c>
      <c r="G169" s="3" t="s">
        <v>184</v>
      </c>
      <c r="H169" s="3" t="s">
        <v>185</v>
      </c>
      <c r="I169" s="3"/>
      <c r="J169" s="3"/>
      <c r="K169" s="3">
        <v>212</v>
      </c>
      <c r="L169" s="3">
        <v>26</v>
      </c>
      <c r="M169" s="3">
        <v>0</v>
      </c>
      <c r="N169" s="3" t="s">
        <v>5</v>
      </c>
    </row>
    <row r="170" spans="1:14" ht="12.75">
      <c r="A170" s="3">
        <v>50</v>
      </c>
      <c r="B170" s="3">
        <v>1</v>
      </c>
      <c r="C170" s="3">
        <v>0</v>
      </c>
      <c r="D170" s="3">
        <v>2</v>
      </c>
      <c r="E170" s="3">
        <v>0</v>
      </c>
      <c r="F170" s="3">
        <f>ROUND((Source!F159+Source!F166+Source!F167-Source!F116*Source!F155)*0.022,2)</f>
        <v>969.09</v>
      </c>
      <c r="G170" s="3" t="s">
        <v>186</v>
      </c>
      <c r="H170" s="3" t="s">
        <v>187</v>
      </c>
      <c r="I170" s="3"/>
      <c r="J170" s="3"/>
      <c r="K170" s="3">
        <v>212</v>
      </c>
      <c r="L170" s="3">
        <v>28</v>
      </c>
      <c r="M170" s="3">
        <v>0</v>
      </c>
      <c r="N170" s="3" t="s">
        <v>5</v>
      </c>
    </row>
    <row r="171" spans="1:14" ht="12.75">
      <c r="A171" s="3">
        <v>50</v>
      </c>
      <c r="B171" s="3">
        <v>1</v>
      </c>
      <c r="C171" s="3">
        <v>0</v>
      </c>
      <c r="D171" s="3">
        <v>2</v>
      </c>
      <c r="E171" s="3">
        <v>0</v>
      </c>
      <c r="F171" s="3">
        <f>ROUND(Source!F168+Source!F169+Source!F170,2)</f>
        <v>83536.55</v>
      </c>
      <c r="G171" s="3" t="s">
        <v>188</v>
      </c>
      <c r="H171" s="3" t="s">
        <v>189</v>
      </c>
      <c r="I171" s="3"/>
      <c r="J171" s="3"/>
      <c r="K171" s="3">
        <v>212</v>
      </c>
      <c r="L171" s="3">
        <v>29</v>
      </c>
      <c r="M171" s="3">
        <v>0</v>
      </c>
      <c r="N171" s="3" t="s">
        <v>5</v>
      </c>
    </row>
    <row r="172" spans="1:14" ht="12.75">
      <c r="A172" s="3">
        <v>50</v>
      </c>
      <c r="B172" s="3">
        <v>1</v>
      </c>
      <c r="C172" s="3">
        <v>0</v>
      </c>
      <c r="D172" s="3">
        <v>2</v>
      </c>
      <c r="E172" s="3">
        <v>0</v>
      </c>
      <c r="F172" s="3">
        <f>ROUND(Source!F171/100,2)</f>
        <v>835.37</v>
      </c>
      <c r="G172" s="3" t="s">
        <v>190</v>
      </c>
      <c r="H172" s="3" t="s">
        <v>191</v>
      </c>
      <c r="I172" s="3"/>
      <c r="J172" s="3"/>
      <c r="K172" s="3">
        <v>212</v>
      </c>
      <c r="L172" s="3">
        <v>30</v>
      </c>
      <c r="M172" s="3">
        <v>0</v>
      </c>
      <c r="N172" s="3" t="s">
        <v>5</v>
      </c>
    </row>
    <row r="173" spans="1:14" ht="12.75">
      <c r="A173" s="3">
        <v>50</v>
      </c>
      <c r="B173" s="3">
        <f>IF(Source!F173&lt;&gt;0,1,0)</f>
        <v>1</v>
      </c>
      <c r="C173" s="3">
        <v>0</v>
      </c>
      <c r="D173" s="3">
        <v>2</v>
      </c>
      <c r="E173" s="3">
        <v>0</v>
      </c>
      <c r="F173" s="3">
        <f>ROUND(Source!F171+Source!F172,2)</f>
        <v>84371.92</v>
      </c>
      <c r="G173" s="3" t="s">
        <v>192</v>
      </c>
      <c r="H173" s="3" t="s">
        <v>193</v>
      </c>
      <c r="I173" s="3"/>
      <c r="J173" s="3"/>
      <c r="K173" s="3">
        <v>212</v>
      </c>
      <c r="L173" s="3">
        <v>31</v>
      </c>
      <c r="M173" s="3">
        <v>1</v>
      </c>
      <c r="N173" s="3" t="s">
        <v>5</v>
      </c>
    </row>
    <row r="174" spans="1:14" ht="12.75">
      <c r="A174" s="3">
        <v>50</v>
      </c>
      <c r="B174" s="3">
        <f>IF(Source!F174&lt;&gt;0,1,0)</f>
        <v>1</v>
      </c>
      <c r="C174" s="3">
        <v>0</v>
      </c>
      <c r="D174" s="3">
        <v>2</v>
      </c>
      <c r="E174" s="3">
        <v>0</v>
      </c>
      <c r="F174" s="3">
        <f>ROUND(18,2)</f>
        <v>18</v>
      </c>
      <c r="G174" s="3" t="s">
        <v>194</v>
      </c>
      <c r="H174" s="3" t="s">
        <v>195</v>
      </c>
      <c r="I174" s="3"/>
      <c r="J174" s="3"/>
      <c r="K174" s="3">
        <v>212</v>
      </c>
      <c r="L174" s="3">
        <v>32</v>
      </c>
      <c r="M174" s="3">
        <v>1</v>
      </c>
      <c r="N174" s="3" t="s">
        <v>5</v>
      </c>
    </row>
    <row r="175" spans="1:14" ht="12.75">
      <c r="A175" s="3">
        <v>50</v>
      </c>
      <c r="B175" s="3">
        <f>IF(Source!F175&lt;&gt;0,1,0)</f>
        <v>1</v>
      </c>
      <c r="C175" s="3">
        <v>0</v>
      </c>
      <c r="D175" s="3">
        <v>2</v>
      </c>
      <c r="E175" s="3">
        <v>0</v>
      </c>
      <c r="F175" s="3">
        <f>ROUND(IF(Source!F174=0,0,Source!F173*Source!F174/100),2)</f>
        <v>15186.95</v>
      </c>
      <c r="G175" s="3" t="s">
        <v>196</v>
      </c>
      <c r="H175" s="3" t="s">
        <v>197</v>
      </c>
      <c r="I175" s="3"/>
      <c r="J175" s="3"/>
      <c r="K175" s="3">
        <v>212</v>
      </c>
      <c r="L175" s="3">
        <v>33</v>
      </c>
      <c r="M175" s="3">
        <v>1</v>
      </c>
      <c r="N175" s="3" t="s">
        <v>5</v>
      </c>
    </row>
    <row r="176" spans="1:14" ht="12.75">
      <c r="A176" s="3">
        <v>50</v>
      </c>
      <c r="B176" s="3">
        <f>IF(Source!F176&lt;&gt;0,1,0)</f>
        <v>1</v>
      </c>
      <c r="C176" s="3">
        <v>0</v>
      </c>
      <c r="D176" s="3">
        <v>2</v>
      </c>
      <c r="E176" s="3">
        <v>0</v>
      </c>
      <c r="F176" s="3">
        <f>ROUND(IF(Source!F174=0,0,Source!F175+Source!F173),2)</f>
        <v>99558.87</v>
      </c>
      <c r="G176" s="3" t="s">
        <v>198</v>
      </c>
      <c r="H176" s="3" t="s">
        <v>199</v>
      </c>
      <c r="I176" s="3"/>
      <c r="J176" s="3"/>
      <c r="K176" s="3">
        <v>212</v>
      </c>
      <c r="L176" s="3">
        <v>34</v>
      </c>
      <c r="M176" s="3">
        <v>1</v>
      </c>
      <c r="N176" s="3" t="s">
        <v>5</v>
      </c>
    </row>
    <row r="180" spans="1:6" ht="12.75">
      <c r="A180">
        <v>65</v>
      </c>
      <c r="C180">
        <v>1</v>
      </c>
      <c r="D180">
        <v>1</v>
      </c>
      <c r="E180">
        <v>150</v>
      </c>
      <c r="F180" t="s">
        <v>200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3"/>
  <sheetViews>
    <sheetView workbookViewId="0" topLeftCell="A96">
      <selection activeCell="A129" sqref="A129"/>
    </sheetView>
  </sheetViews>
  <sheetFormatPr defaultColWidth="9.140625" defaultRowHeight="12.75"/>
  <sheetData>
    <row r="1" spans="1:48" ht="12.75">
      <c r="A1">
        <f>ROW(Source!A28)</f>
        <v>28</v>
      </c>
      <c r="B1">
        <v>7696364</v>
      </c>
      <c r="C1">
        <v>7696363</v>
      </c>
      <c r="D1">
        <v>5608703</v>
      </c>
      <c r="E1">
        <v>1</v>
      </c>
      <c r="F1">
        <v>1</v>
      </c>
      <c r="G1">
        <v>1</v>
      </c>
      <c r="H1">
        <v>1</v>
      </c>
      <c r="I1" t="s">
        <v>201</v>
      </c>
      <c r="K1" t="s">
        <v>202</v>
      </c>
      <c r="L1">
        <v>1476</v>
      </c>
      <c r="N1">
        <v>1013</v>
      </c>
      <c r="O1" t="s">
        <v>203</v>
      </c>
      <c r="P1" t="s">
        <v>204</v>
      </c>
      <c r="Q1">
        <v>1</v>
      </c>
      <c r="Y1">
        <v>30.91</v>
      </c>
      <c r="AA1">
        <v>0</v>
      </c>
      <c r="AB1">
        <v>0</v>
      </c>
      <c r="AC1">
        <v>0</v>
      </c>
      <c r="AD1">
        <v>9.61</v>
      </c>
      <c r="AN1">
        <v>0</v>
      </c>
      <c r="AO1">
        <v>1</v>
      </c>
      <c r="AP1">
        <v>0</v>
      </c>
      <c r="AQ1">
        <v>0</v>
      </c>
      <c r="AR1">
        <v>0</v>
      </c>
      <c r="AT1">
        <v>30.91</v>
      </c>
      <c r="AV1">
        <v>1</v>
      </c>
    </row>
    <row r="2" spans="1:48" ht="12.75">
      <c r="A2">
        <f>ROW(Source!A28)</f>
        <v>28</v>
      </c>
      <c r="B2">
        <v>7696365</v>
      </c>
      <c r="C2">
        <v>7696363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205</v>
      </c>
      <c r="L2">
        <v>608254</v>
      </c>
      <c r="N2">
        <v>1013</v>
      </c>
      <c r="O2" t="s">
        <v>206</v>
      </c>
      <c r="P2" t="s">
        <v>206</v>
      </c>
      <c r="Q2">
        <v>1</v>
      </c>
      <c r="Y2">
        <v>0.59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0.59</v>
      </c>
      <c r="AV2">
        <v>2</v>
      </c>
    </row>
    <row r="3" spans="1:48" ht="12.75">
      <c r="A3">
        <f>ROW(Source!A28)</f>
        <v>28</v>
      </c>
      <c r="B3">
        <v>7696366</v>
      </c>
      <c r="C3">
        <v>7696363</v>
      </c>
      <c r="D3">
        <v>6298374</v>
      </c>
      <c r="E3">
        <v>1</v>
      </c>
      <c r="F3">
        <v>1</v>
      </c>
      <c r="G3">
        <v>1</v>
      </c>
      <c r="H3">
        <v>2</v>
      </c>
      <c r="I3" t="s">
        <v>207</v>
      </c>
      <c r="J3" t="s">
        <v>208</v>
      </c>
      <c r="K3" t="s">
        <v>209</v>
      </c>
      <c r="L3">
        <v>1480</v>
      </c>
      <c r="N3">
        <v>1013</v>
      </c>
      <c r="O3" t="s">
        <v>210</v>
      </c>
      <c r="P3" t="s">
        <v>211</v>
      </c>
      <c r="Q3">
        <v>1</v>
      </c>
      <c r="Y3">
        <v>0.08</v>
      </c>
      <c r="AA3">
        <v>0</v>
      </c>
      <c r="AB3">
        <v>118.84</v>
      </c>
      <c r="AC3">
        <v>11.81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0.08</v>
      </c>
      <c r="AV3">
        <v>0</v>
      </c>
    </row>
    <row r="4" spans="1:48" ht="12.75">
      <c r="A4">
        <f>ROW(Source!A28)</f>
        <v>28</v>
      </c>
      <c r="B4">
        <v>7696367</v>
      </c>
      <c r="C4">
        <v>7696363</v>
      </c>
      <c r="D4">
        <v>6298458</v>
      </c>
      <c r="E4">
        <v>1</v>
      </c>
      <c r="F4">
        <v>1</v>
      </c>
      <c r="G4">
        <v>1</v>
      </c>
      <c r="H4">
        <v>2</v>
      </c>
      <c r="I4" t="s">
        <v>212</v>
      </c>
      <c r="J4" t="s">
        <v>213</v>
      </c>
      <c r="K4" t="s">
        <v>214</v>
      </c>
      <c r="L4">
        <v>1368</v>
      </c>
      <c r="N4">
        <v>1011</v>
      </c>
      <c r="O4" t="s">
        <v>215</v>
      </c>
      <c r="P4" t="s">
        <v>215</v>
      </c>
      <c r="Q4">
        <v>1</v>
      </c>
      <c r="Y4">
        <v>0.07</v>
      </c>
      <c r="AA4">
        <v>0</v>
      </c>
      <c r="AB4">
        <v>123.73</v>
      </c>
      <c r="AC4">
        <v>11.81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0.07</v>
      </c>
      <c r="AV4">
        <v>0</v>
      </c>
    </row>
    <row r="5" spans="1:48" ht="12.75">
      <c r="A5">
        <f>ROW(Source!A28)</f>
        <v>28</v>
      </c>
      <c r="B5">
        <v>7696368</v>
      </c>
      <c r="C5">
        <v>7696363</v>
      </c>
      <c r="D5">
        <v>6298561</v>
      </c>
      <c r="E5">
        <v>1</v>
      </c>
      <c r="F5">
        <v>1</v>
      </c>
      <c r="G5">
        <v>1</v>
      </c>
      <c r="H5">
        <v>2</v>
      </c>
      <c r="I5" t="s">
        <v>216</v>
      </c>
      <c r="J5" t="s">
        <v>217</v>
      </c>
      <c r="K5" t="s">
        <v>218</v>
      </c>
      <c r="L5">
        <v>1368</v>
      </c>
      <c r="N5">
        <v>1011</v>
      </c>
      <c r="O5" t="s">
        <v>215</v>
      </c>
      <c r="P5" t="s">
        <v>215</v>
      </c>
      <c r="Q5">
        <v>1</v>
      </c>
      <c r="Y5">
        <v>4.18</v>
      </c>
      <c r="AA5">
        <v>0</v>
      </c>
      <c r="AB5">
        <v>0.86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4.18</v>
      </c>
      <c r="AV5">
        <v>0</v>
      </c>
    </row>
    <row r="6" spans="1:48" ht="12.75">
      <c r="A6">
        <f>ROW(Source!A28)</f>
        <v>28</v>
      </c>
      <c r="B6">
        <v>7696369</v>
      </c>
      <c r="C6">
        <v>7696363</v>
      </c>
      <c r="D6">
        <v>6300745</v>
      </c>
      <c r="E6">
        <v>1</v>
      </c>
      <c r="F6">
        <v>1</v>
      </c>
      <c r="G6">
        <v>1</v>
      </c>
      <c r="H6">
        <v>2</v>
      </c>
      <c r="I6" t="s">
        <v>219</v>
      </c>
      <c r="J6" t="s">
        <v>220</v>
      </c>
      <c r="K6" t="s">
        <v>221</v>
      </c>
      <c r="L6">
        <v>1368</v>
      </c>
      <c r="N6">
        <v>1011</v>
      </c>
      <c r="O6" t="s">
        <v>215</v>
      </c>
      <c r="P6" t="s">
        <v>215</v>
      </c>
      <c r="Q6">
        <v>1</v>
      </c>
      <c r="Y6">
        <v>0.44</v>
      </c>
      <c r="AA6">
        <v>0</v>
      </c>
      <c r="AB6">
        <v>60.77</v>
      </c>
      <c r="AC6">
        <v>11.81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0.44</v>
      </c>
      <c r="AV6">
        <v>0</v>
      </c>
    </row>
    <row r="7" spans="1:48" ht="12.75">
      <c r="A7">
        <f>ROW(Source!A28)</f>
        <v>28</v>
      </c>
      <c r="B7">
        <v>7696370</v>
      </c>
      <c r="C7">
        <v>7696363</v>
      </c>
      <c r="D7">
        <v>6330593</v>
      </c>
      <c r="E7">
        <v>1</v>
      </c>
      <c r="F7">
        <v>1</v>
      </c>
      <c r="G7">
        <v>1</v>
      </c>
      <c r="H7">
        <v>3</v>
      </c>
      <c r="I7" t="s">
        <v>222</v>
      </c>
      <c r="J7" t="s">
        <v>223</v>
      </c>
      <c r="K7" t="s">
        <v>224</v>
      </c>
      <c r="L7">
        <v>1348</v>
      </c>
      <c r="N7">
        <v>1009</v>
      </c>
      <c r="O7" t="s">
        <v>225</v>
      </c>
      <c r="P7" t="s">
        <v>225</v>
      </c>
      <c r="Q7">
        <v>1000</v>
      </c>
      <c r="Y7">
        <v>0.00019</v>
      </c>
      <c r="AA7">
        <v>36736.06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0.00019</v>
      </c>
      <c r="AV7">
        <v>0</v>
      </c>
    </row>
    <row r="8" spans="1:48" ht="12.75">
      <c r="A8">
        <f>ROW(Source!A28)</f>
        <v>28</v>
      </c>
      <c r="B8">
        <v>7696371</v>
      </c>
      <c r="C8">
        <v>7696363</v>
      </c>
      <c r="D8">
        <v>6330860</v>
      </c>
      <c r="E8">
        <v>1</v>
      </c>
      <c r="F8">
        <v>1</v>
      </c>
      <c r="G8">
        <v>1</v>
      </c>
      <c r="H8">
        <v>3</v>
      </c>
      <c r="I8" t="s">
        <v>226</v>
      </c>
      <c r="J8" t="s">
        <v>227</v>
      </c>
      <c r="K8" t="s">
        <v>228</v>
      </c>
      <c r="L8">
        <v>1339</v>
      </c>
      <c r="N8">
        <v>1007</v>
      </c>
      <c r="O8" t="s">
        <v>229</v>
      </c>
      <c r="P8" t="s">
        <v>229</v>
      </c>
      <c r="Q8">
        <v>1</v>
      </c>
      <c r="Y8">
        <v>0.18</v>
      </c>
      <c r="AA8">
        <v>8.21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0.18</v>
      </c>
      <c r="AV8">
        <v>0</v>
      </c>
    </row>
    <row r="9" spans="1:48" ht="12.75">
      <c r="A9">
        <f>ROW(Source!A28)</f>
        <v>28</v>
      </c>
      <c r="B9">
        <v>7696372</v>
      </c>
      <c r="C9">
        <v>7696363</v>
      </c>
      <c r="D9">
        <v>6330924</v>
      </c>
      <c r="E9">
        <v>1</v>
      </c>
      <c r="F9">
        <v>1</v>
      </c>
      <c r="G9">
        <v>1</v>
      </c>
      <c r="H9">
        <v>3</v>
      </c>
      <c r="I9" t="s">
        <v>230</v>
      </c>
      <c r="J9" t="s">
        <v>231</v>
      </c>
      <c r="K9" t="s">
        <v>232</v>
      </c>
      <c r="L9">
        <v>1348</v>
      </c>
      <c r="N9">
        <v>1009</v>
      </c>
      <c r="O9" t="s">
        <v>225</v>
      </c>
      <c r="P9" t="s">
        <v>225</v>
      </c>
      <c r="Q9">
        <v>1000</v>
      </c>
      <c r="Y9">
        <v>0.00044</v>
      </c>
      <c r="AA9">
        <v>13884.14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0.00044</v>
      </c>
      <c r="AV9">
        <v>0</v>
      </c>
    </row>
    <row r="10" spans="1:48" ht="12.75">
      <c r="A10">
        <f>ROW(Source!A28)</f>
        <v>28</v>
      </c>
      <c r="B10">
        <v>7696373</v>
      </c>
      <c r="C10">
        <v>7696363</v>
      </c>
      <c r="D10">
        <v>6331164</v>
      </c>
      <c r="E10">
        <v>1</v>
      </c>
      <c r="F10">
        <v>1</v>
      </c>
      <c r="G10">
        <v>1</v>
      </c>
      <c r="H10">
        <v>3</v>
      </c>
      <c r="I10" t="s">
        <v>233</v>
      </c>
      <c r="J10" t="s">
        <v>234</v>
      </c>
      <c r="K10" t="s">
        <v>235</v>
      </c>
      <c r="L10">
        <v>1348</v>
      </c>
      <c r="N10">
        <v>1009</v>
      </c>
      <c r="O10" t="s">
        <v>225</v>
      </c>
      <c r="P10" t="s">
        <v>225</v>
      </c>
      <c r="Q10">
        <v>1000</v>
      </c>
      <c r="Y10">
        <v>0.00053</v>
      </c>
      <c r="AA10">
        <v>22015.32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0.00053</v>
      </c>
      <c r="AV10">
        <v>0</v>
      </c>
    </row>
    <row r="11" spans="1:48" ht="12.75">
      <c r="A11">
        <f>ROW(Source!A28)</f>
        <v>28</v>
      </c>
      <c r="B11">
        <v>7696374</v>
      </c>
      <c r="C11">
        <v>7696363</v>
      </c>
      <c r="D11">
        <v>6331344</v>
      </c>
      <c r="E11">
        <v>1</v>
      </c>
      <c r="F11">
        <v>1</v>
      </c>
      <c r="G11">
        <v>1</v>
      </c>
      <c r="H11">
        <v>3</v>
      </c>
      <c r="I11" t="s">
        <v>236</v>
      </c>
      <c r="J11" t="s">
        <v>237</v>
      </c>
      <c r="K11" t="s">
        <v>238</v>
      </c>
      <c r="L11">
        <v>1348</v>
      </c>
      <c r="N11">
        <v>1009</v>
      </c>
      <c r="O11" t="s">
        <v>225</v>
      </c>
      <c r="P11" t="s">
        <v>225</v>
      </c>
      <c r="Q11">
        <v>1000</v>
      </c>
      <c r="Y11">
        <v>0.001</v>
      </c>
      <c r="AA11">
        <v>14752.49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0.001</v>
      </c>
      <c r="AV11">
        <v>0</v>
      </c>
    </row>
    <row r="12" spans="1:48" ht="12.75">
      <c r="A12">
        <f>ROW(Source!A28)</f>
        <v>28</v>
      </c>
      <c r="B12">
        <v>7696375</v>
      </c>
      <c r="C12">
        <v>7696363</v>
      </c>
      <c r="D12">
        <v>6332139</v>
      </c>
      <c r="E12">
        <v>1</v>
      </c>
      <c r="F12">
        <v>1</v>
      </c>
      <c r="G12">
        <v>1</v>
      </c>
      <c r="H12">
        <v>3</v>
      </c>
      <c r="I12" t="s">
        <v>239</v>
      </c>
      <c r="J12" t="s">
        <v>240</v>
      </c>
      <c r="K12" t="s">
        <v>241</v>
      </c>
      <c r="L12">
        <v>1346</v>
      </c>
      <c r="N12">
        <v>1009</v>
      </c>
      <c r="O12" t="s">
        <v>242</v>
      </c>
      <c r="P12" t="s">
        <v>242</v>
      </c>
      <c r="Q12">
        <v>1</v>
      </c>
      <c r="Y12">
        <v>0.0009</v>
      </c>
      <c r="AA12">
        <v>2.7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0.0009</v>
      </c>
      <c r="AV12">
        <v>0</v>
      </c>
    </row>
    <row r="13" spans="1:48" ht="12.75">
      <c r="A13">
        <f>ROW(Source!A28)</f>
        <v>28</v>
      </c>
      <c r="B13">
        <v>7696376</v>
      </c>
      <c r="C13">
        <v>7696363</v>
      </c>
      <c r="D13">
        <v>6332204</v>
      </c>
      <c r="E13">
        <v>1</v>
      </c>
      <c r="F13">
        <v>1</v>
      </c>
      <c r="G13">
        <v>1</v>
      </c>
      <c r="H13">
        <v>3</v>
      </c>
      <c r="I13" t="s">
        <v>243</v>
      </c>
      <c r="J13" t="s">
        <v>244</v>
      </c>
      <c r="K13" t="s">
        <v>245</v>
      </c>
      <c r="L13">
        <v>1346</v>
      </c>
      <c r="N13">
        <v>1009</v>
      </c>
      <c r="O13" t="s">
        <v>242</v>
      </c>
      <c r="P13" t="s">
        <v>242</v>
      </c>
      <c r="Q13">
        <v>1</v>
      </c>
      <c r="Y13">
        <v>0.03</v>
      </c>
      <c r="AA13">
        <v>37.18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0.03</v>
      </c>
      <c r="AV13">
        <v>0</v>
      </c>
    </row>
    <row r="14" spans="1:48" ht="12.75">
      <c r="A14">
        <f>ROW(Source!A28)</f>
        <v>28</v>
      </c>
      <c r="B14">
        <v>7696377</v>
      </c>
      <c r="C14">
        <v>7696363</v>
      </c>
      <c r="D14">
        <v>6335903</v>
      </c>
      <c r="E14">
        <v>1</v>
      </c>
      <c r="F14">
        <v>1</v>
      </c>
      <c r="G14">
        <v>1</v>
      </c>
      <c r="H14">
        <v>3</v>
      </c>
      <c r="I14" t="s">
        <v>246</v>
      </c>
      <c r="J14" t="s">
        <v>247</v>
      </c>
      <c r="K14" t="s">
        <v>248</v>
      </c>
      <c r="L14">
        <v>1354</v>
      </c>
      <c r="N14">
        <v>1010</v>
      </c>
      <c r="O14" t="s">
        <v>52</v>
      </c>
      <c r="P14" t="s">
        <v>52</v>
      </c>
      <c r="Q14">
        <v>1</v>
      </c>
      <c r="Y14">
        <v>0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</v>
      </c>
      <c r="AV14">
        <v>0</v>
      </c>
    </row>
    <row r="15" spans="1:48" ht="12.75">
      <c r="A15">
        <f>ROW(Source!A28)</f>
        <v>28</v>
      </c>
      <c r="B15">
        <v>7696378</v>
      </c>
      <c r="C15">
        <v>7696363</v>
      </c>
      <c r="D15">
        <v>6345972</v>
      </c>
      <c r="E15">
        <v>1</v>
      </c>
      <c r="F15">
        <v>1</v>
      </c>
      <c r="G15">
        <v>1</v>
      </c>
      <c r="H15">
        <v>3</v>
      </c>
      <c r="I15" t="s">
        <v>249</v>
      </c>
      <c r="J15" t="s">
        <v>250</v>
      </c>
      <c r="K15" t="s">
        <v>63</v>
      </c>
      <c r="L15">
        <v>1346</v>
      </c>
      <c r="N15">
        <v>1009</v>
      </c>
      <c r="O15" t="s">
        <v>242</v>
      </c>
      <c r="P15" t="s">
        <v>242</v>
      </c>
      <c r="Q15">
        <v>1</v>
      </c>
      <c r="Y15">
        <v>0</v>
      </c>
      <c r="AA15">
        <v>14.17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</v>
      </c>
      <c r="AV15">
        <v>0</v>
      </c>
    </row>
    <row r="16" spans="1:48" ht="12.75">
      <c r="A16">
        <f>ROW(Source!A28)</f>
        <v>28</v>
      </c>
      <c r="B16">
        <v>7696379</v>
      </c>
      <c r="C16">
        <v>7696363</v>
      </c>
      <c r="D16">
        <v>6346060</v>
      </c>
      <c r="E16">
        <v>1</v>
      </c>
      <c r="F16">
        <v>1</v>
      </c>
      <c r="G16">
        <v>1</v>
      </c>
      <c r="H16">
        <v>3</v>
      </c>
      <c r="I16" t="s">
        <v>251</v>
      </c>
      <c r="J16" t="s">
        <v>252</v>
      </c>
      <c r="K16" t="s">
        <v>253</v>
      </c>
      <c r="L16">
        <v>1301</v>
      </c>
      <c r="N16">
        <v>1003</v>
      </c>
      <c r="O16" t="s">
        <v>254</v>
      </c>
      <c r="P16" t="s">
        <v>254</v>
      </c>
      <c r="Q16">
        <v>1</v>
      </c>
      <c r="Y16">
        <v>100</v>
      </c>
      <c r="AA16">
        <v>30.99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100</v>
      </c>
      <c r="AV16">
        <v>0</v>
      </c>
    </row>
    <row r="17" spans="1:48" ht="12.75">
      <c r="A17">
        <f>ROW(Source!A28)</f>
        <v>28</v>
      </c>
      <c r="B17">
        <v>7696380</v>
      </c>
      <c r="C17">
        <v>7696363</v>
      </c>
      <c r="D17">
        <v>6352624</v>
      </c>
      <c r="E17">
        <v>1</v>
      </c>
      <c r="F17">
        <v>1</v>
      </c>
      <c r="G17">
        <v>1</v>
      </c>
      <c r="H17">
        <v>3</v>
      </c>
      <c r="I17" t="s">
        <v>255</v>
      </c>
      <c r="J17" t="s">
        <v>256</v>
      </c>
      <c r="K17" t="s">
        <v>257</v>
      </c>
      <c r="L17">
        <v>1339</v>
      </c>
      <c r="N17">
        <v>1007</v>
      </c>
      <c r="O17" t="s">
        <v>229</v>
      </c>
      <c r="P17" t="s">
        <v>229</v>
      </c>
      <c r="Q17">
        <v>1</v>
      </c>
      <c r="Y17">
        <v>0.25</v>
      </c>
      <c r="AA17">
        <v>3.2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0.25</v>
      </c>
      <c r="AV17">
        <v>0</v>
      </c>
    </row>
    <row r="18" spans="1:48" ht="12.75">
      <c r="A18">
        <f>ROW(Source!A29)</f>
        <v>29</v>
      </c>
      <c r="B18">
        <v>7696382</v>
      </c>
      <c r="C18">
        <v>7696381</v>
      </c>
      <c r="D18">
        <v>5608703</v>
      </c>
      <c r="E18">
        <v>1</v>
      </c>
      <c r="F18">
        <v>1</v>
      </c>
      <c r="G18">
        <v>1</v>
      </c>
      <c r="H18">
        <v>1</v>
      </c>
      <c r="I18" t="s">
        <v>201</v>
      </c>
      <c r="K18" t="s">
        <v>202</v>
      </c>
      <c r="L18">
        <v>1476</v>
      </c>
      <c r="N18">
        <v>1013</v>
      </c>
      <c r="O18" t="s">
        <v>203</v>
      </c>
      <c r="P18" t="s">
        <v>204</v>
      </c>
      <c r="Q18">
        <v>1</v>
      </c>
      <c r="Y18">
        <v>30.91</v>
      </c>
      <c r="AA18">
        <v>0</v>
      </c>
      <c r="AB18">
        <v>0</v>
      </c>
      <c r="AC18">
        <v>0</v>
      </c>
      <c r="AD18">
        <v>9.61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30.91</v>
      </c>
      <c r="AV18">
        <v>1</v>
      </c>
    </row>
    <row r="19" spans="1:48" ht="12.75">
      <c r="A19">
        <f>ROW(Source!A29)</f>
        <v>29</v>
      </c>
      <c r="B19">
        <v>7696383</v>
      </c>
      <c r="C19">
        <v>7696381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28</v>
      </c>
      <c r="K19" t="s">
        <v>205</v>
      </c>
      <c r="L19">
        <v>608254</v>
      </c>
      <c r="N19">
        <v>1013</v>
      </c>
      <c r="O19" t="s">
        <v>206</v>
      </c>
      <c r="P19" t="s">
        <v>206</v>
      </c>
      <c r="Q19">
        <v>1</v>
      </c>
      <c r="Y19">
        <v>0.59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0.59</v>
      </c>
      <c r="AV19">
        <v>2</v>
      </c>
    </row>
    <row r="20" spans="1:48" ht="12.75">
      <c r="A20">
        <f>ROW(Source!A29)</f>
        <v>29</v>
      </c>
      <c r="B20">
        <v>7696384</v>
      </c>
      <c r="C20">
        <v>7696381</v>
      </c>
      <c r="D20">
        <v>6298374</v>
      </c>
      <c r="E20">
        <v>1</v>
      </c>
      <c r="F20">
        <v>1</v>
      </c>
      <c r="G20">
        <v>1</v>
      </c>
      <c r="H20">
        <v>2</v>
      </c>
      <c r="I20" t="s">
        <v>207</v>
      </c>
      <c r="J20" t="s">
        <v>208</v>
      </c>
      <c r="K20" t="s">
        <v>209</v>
      </c>
      <c r="L20">
        <v>1480</v>
      </c>
      <c r="N20">
        <v>1013</v>
      </c>
      <c r="O20" t="s">
        <v>210</v>
      </c>
      <c r="P20" t="s">
        <v>211</v>
      </c>
      <c r="Q20">
        <v>1</v>
      </c>
      <c r="Y20">
        <v>0.08</v>
      </c>
      <c r="AA20">
        <v>0</v>
      </c>
      <c r="AB20">
        <v>118.84</v>
      </c>
      <c r="AC20">
        <v>11.81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0.08</v>
      </c>
      <c r="AV20">
        <v>0</v>
      </c>
    </row>
    <row r="21" spans="1:48" ht="12.75">
      <c r="A21">
        <f>ROW(Source!A29)</f>
        <v>29</v>
      </c>
      <c r="B21">
        <v>7696385</v>
      </c>
      <c r="C21">
        <v>7696381</v>
      </c>
      <c r="D21">
        <v>6298458</v>
      </c>
      <c r="E21">
        <v>1</v>
      </c>
      <c r="F21">
        <v>1</v>
      </c>
      <c r="G21">
        <v>1</v>
      </c>
      <c r="H21">
        <v>2</v>
      </c>
      <c r="I21" t="s">
        <v>212</v>
      </c>
      <c r="J21" t="s">
        <v>213</v>
      </c>
      <c r="K21" t="s">
        <v>214</v>
      </c>
      <c r="L21">
        <v>1368</v>
      </c>
      <c r="N21">
        <v>1011</v>
      </c>
      <c r="O21" t="s">
        <v>215</v>
      </c>
      <c r="P21" t="s">
        <v>215</v>
      </c>
      <c r="Q21">
        <v>1</v>
      </c>
      <c r="Y21">
        <v>0.07</v>
      </c>
      <c r="AA21">
        <v>0</v>
      </c>
      <c r="AB21">
        <v>123.73</v>
      </c>
      <c r="AC21">
        <v>11.81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0.07</v>
      </c>
      <c r="AV21">
        <v>0</v>
      </c>
    </row>
    <row r="22" spans="1:48" ht="12.75">
      <c r="A22">
        <f>ROW(Source!A29)</f>
        <v>29</v>
      </c>
      <c r="B22">
        <v>7696386</v>
      </c>
      <c r="C22">
        <v>7696381</v>
      </c>
      <c r="D22">
        <v>6298561</v>
      </c>
      <c r="E22">
        <v>1</v>
      </c>
      <c r="F22">
        <v>1</v>
      </c>
      <c r="G22">
        <v>1</v>
      </c>
      <c r="H22">
        <v>2</v>
      </c>
      <c r="I22" t="s">
        <v>216</v>
      </c>
      <c r="J22" t="s">
        <v>217</v>
      </c>
      <c r="K22" t="s">
        <v>218</v>
      </c>
      <c r="L22">
        <v>1368</v>
      </c>
      <c r="N22">
        <v>1011</v>
      </c>
      <c r="O22" t="s">
        <v>215</v>
      </c>
      <c r="P22" t="s">
        <v>215</v>
      </c>
      <c r="Q22">
        <v>1</v>
      </c>
      <c r="Y22">
        <v>4.18</v>
      </c>
      <c r="AA22">
        <v>0</v>
      </c>
      <c r="AB22">
        <v>0.86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4.18</v>
      </c>
      <c r="AV22">
        <v>0</v>
      </c>
    </row>
    <row r="23" spans="1:48" ht="12.75">
      <c r="A23">
        <f>ROW(Source!A29)</f>
        <v>29</v>
      </c>
      <c r="B23">
        <v>7696387</v>
      </c>
      <c r="C23">
        <v>7696381</v>
      </c>
      <c r="D23">
        <v>6300745</v>
      </c>
      <c r="E23">
        <v>1</v>
      </c>
      <c r="F23">
        <v>1</v>
      </c>
      <c r="G23">
        <v>1</v>
      </c>
      <c r="H23">
        <v>2</v>
      </c>
      <c r="I23" t="s">
        <v>219</v>
      </c>
      <c r="J23" t="s">
        <v>220</v>
      </c>
      <c r="K23" t="s">
        <v>221</v>
      </c>
      <c r="L23">
        <v>1368</v>
      </c>
      <c r="N23">
        <v>1011</v>
      </c>
      <c r="O23" t="s">
        <v>215</v>
      </c>
      <c r="P23" t="s">
        <v>215</v>
      </c>
      <c r="Q23">
        <v>1</v>
      </c>
      <c r="Y23">
        <v>0.44</v>
      </c>
      <c r="AA23">
        <v>0</v>
      </c>
      <c r="AB23">
        <v>60.77</v>
      </c>
      <c r="AC23">
        <v>11.81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0.44</v>
      </c>
      <c r="AV23">
        <v>0</v>
      </c>
    </row>
    <row r="24" spans="1:48" ht="12.75">
      <c r="A24">
        <f>ROW(Source!A29)</f>
        <v>29</v>
      </c>
      <c r="B24">
        <v>7696388</v>
      </c>
      <c r="C24">
        <v>7696381</v>
      </c>
      <c r="D24">
        <v>6330593</v>
      </c>
      <c r="E24">
        <v>1</v>
      </c>
      <c r="F24">
        <v>1</v>
      </c>
      <c r="G24">
        <v>1</v>
      </c>
      <c r="H24">
        <v>3</v>
      </c>
      <c r="I24" t="s">
        <v>222</v>
      </c>
      <c r="J24" t="s">
        <v>223</v>
      </c>
      <c r="K24" t="s">
        <v>224</v>
      </c>
      <c r="L24">
        <v>1348</v>
      </c>
      <c r="N24">
        <v>1009</v>
      </c>
      <c r="O24" t="s">
        <v>225</v>
      </c>
      <c r="P24" t="s">
        <v>225</v>
      </c>
      <c r="Q24">
        <v>1000</v>
      </c>
      <c r="Y24">
        <v>0.00019</v>
      </c>
      <c r="AA24">
        <v>36736.06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0.00019</v>
      </c>
      <c r="AV24">
        <v>0</v>
      </c>
    </row>
    <row r="25" spans="1:48" ht="12.75">
      <c r="A25">
        <f>ROW(Source!A29)</f>
        <v>29</v>
      </c>
      <c r="B25">
        <v>7696389</v>
      </c>
      <c r="C25">
        <v>7696381</v>
      </c>
      <c r="D25">
        <v>6330860</v>
      </c>
      <c r="E25">
        <v>1</v>
      </c>
      <c r="F25">
        <v>1</v>
      </c>
      <c r="G25">
        <v>1</v>
      </c>
      <c r="H25">
        <v>3</v>
      </c>
      <c r="I25" t="s">
        <v>226</v>
      </c>
      <c r="J25" t="s">
        <v>227</v>
      </c>
      <c r="K25" t="s">
        <v>228</v>
      </c>
      <c r="L25">
        <v>1339</v>
      </c>
      <c r="N25">
        <v>1007</v>
      </c>
      <c r="O25" t="s">
        <v>229</v>
      </c>
      <c r="P25" t="s">
        <v>229</v>
      </c>
      <c r="Q25">
        <v>1</v>
      </c>
      <c r="Y25">
        <v>0.18</v>
      </c>
      <c r="AA25">
        <v>8.21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0.18</v>
      </c>
      <c r="AV25">
        <v>0</v>
      </c>
    </row>
    <row r="26" spans="1:48" ht="12.75">
      <c r="A26">
        <f>ROW(Source!A29)</f>
        <v>29</v>
      </c>
      <c r="B26">
        <v>7696390</v>
      </c>
      <c r="C26">
        <v>7696381</v>
      </c>
      <c r="D26">
        <v>6330924</v>
      </c>
      <c r="E26">
        <v>1</v>
      </c>
      <c r="F26">
        <v>1</v>
      </c>
      <c r="G26">
        <v>1</v>
      </c>
      <c r="H26">
        <v>3</v>
      </c>
      <c r="I26" t="s">
        <v>230</v>
      </c>
      <c r="J26" t="s">
        <v>231</v>
      </c>
      <c r="K26" t="s">
        <v>232</v>
      </c>
      <c r="L26">
        <v>1348</v>
      </c>
      <c r="N26">
        <v>1009</v>
      </c>
      <c r="O26" t="s">
        <v>225</v>
      </c>
      <c r="P26" t="s">
        <v>225</v>
      </c>
      <c r="Q26">
        <v>1000</v>
      </c>
      <c r="Y26">
        <v>0.00044</v>
      </c>
      <c r="AA26">
        <v>13884.14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0.00044</v>
      </c>
      <c r="AV26">
        <v>0</v>
      </c>
    </row>
    <row r="27" spans="1:48" ht="12.75">
      <c r="A27">
        <f>ROW(Source!A29)</f>
        <v>29</v>
      </c>
      <c r="B27">
        <v>7696391</v>
      </c>
      <c r="C27">
        <v>7696381</v>
      </c>
      <c r="D27">
        <v>6331164</v>
      </c>
      <c r="E27">
        <v>1</v>
      </c>
      <c r="F27">
        <v>1</v>
      </c>
      <c r="G27">
        <v>1</v>
      </c>
      <c r="H27">
        <v>3</v>
      </c>
      <c r="I27" t="s">
        <v>233</v>
      </c>
      <c r="J27" t="s">
        <v>234</v>
      </c>
      <c r="K27" t="s">
        <v>235</v>
      </c>
      <c r="L27">
        <v>1348</v>
      </c>
      <c r="N27">
        <v>1009</v>
      </c>
      <c r="O27" t="s">
        <v>225</v>
      </c>
      <c r="P27" t="s">
        <v>225</v>
      </c>
      <c r="Q27">
        <v>1000</v>
      </c>
      <c r="Y27">
        <v>0.00053</v>
      </c>
      <c r="AA27">
        <v>22015.32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0.00053</v>
      </c>
      <c r="AV27">
        <v>0</v>
      </c>
    </row>
    <row r="28" spans="1:48" ht="12.75">
      <c r="A28">
        <f>ROW(Source!A29)</f>
        <v>29</v>
      </c>
      <c r="B28">
        <v>7696392</v>
      </c>
      <c r="C28">
        <v>7696381</v>
      </c>
      <c r="D28">
        <v>6331344</v>
      </c>
      <c r="E28">
        <v>1</v>
      </c>
      <c r="F28">
        <v>1</v>
      </c>
      <c r="G28">
        <v>1</v>
      </c>
      <c r="H28">
        <v>3</v>
      </c>
      <c r="I28" t="s">
        <v>236</v>
      </c>
      <c r="J28" t="s">
        <v>237</v>
      </c>
      <c r="K28" t="s">
        <v>238</v>
      </c>
      <c r="L28">
        <v>1348</v>
      </c>
      <c r="N28">
        <v>1009</v>
      </c>
      <c r="O28" t="s">
        <v>225</v>
      </c>
      <c r="P28" t="s">
        <v>225</v>
      </c>
      <c r="Q28">
        <v>1000</v>
      </c>
      <c r="Y28">
        <v>0.001</v>
      </c>
      <c r="AA28">
        <v>14752.49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0.001</v>
      </c>
      <c r="AV28">
        <v>0</v>
      </c>
    </row>
    <row r="29" spans="1:48" ht="12.75">
      <c r="A29">
        <f>ROW(Source!A29)</f>
        <v>29</v>
      </c>
      <c r="B29">
        <v>7696393</v>
      </c>
      <c r="C29">
        <v>7696381</v>
      </c>
      <c r="D29">
        <v>6332139</v>
      </c>
      <c r="E29">
        <v>1</v>
      </c>
      <c r="F29">
        <v>1</v>
      </c>
      <c r="G29">
        <v>1</v>
      </c>
      <c r="H29">
        <v>3</v>
      </c>
      <c r="I29" t="s">
        <v>239</v>
      </c>
      <c r="J29" t="s">
        <v>240</v>
      </c>
      <c r="K29" t="s">
        <v>241</v>
      </c>
      <c r="L29">
        <v>1346</v>
      </c>
      <c r="N29">
        <v>1009</v>
      </c>
      <c r="O29" t="s">
        <v>242</v>
      </c>
      <c r="P29" t="s">
        <v>242</v>
      </c>
      <c r="Q29">
        <v>1</v>
      </c>
      <c r="Y29">
        <v>0.0016</v>
      </c>
      <c r="AA29">
        <v>2.7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0.0016</v>
      </c>
      <c r="AV29">
        <v>0</v>
      </c>
    </row>
    <row r="30" spans="1:48" ht="12.75">
      <c r="A30">
        <f>ROW(Source!A29)</f>
        <v>29</v>
      </c>
      <c r="B30">
        <v>7696394</v>
      </c>
      <c r="C30">
        <v>7696381</v>
      </c>
      <c r="D30">
        <v>6332204</v>
      </c>
      <c r="E30">
        <v>1</v>
      </c>
      <c r="F30">
        <v>1</v>
      </c>
      <c r="G30">
        <v>1</v>
      </c>
      <c r="H30">
        <v>3</v>
      </c>
      <c r="I30" t="s">
        <v>243</v>
      </c>
      <c r="J30" t="s">
        <v>244</v>
      </c>
      <c r="K30" t="s">
        <v>245</v>
      </c>
      <c r="L30">
        <v>1346</v>
      </c>
      <c r="N30">
        <v>1009</v>
      </c>
      <c r="O30" t="s">
        <v>242</v>
      </c>
      <c r="P30" t="s">
        <v>242</v>
      </c>
      <c r="Q30">
        <v>1</v>
      </c>
      <c r="Y30">
        <v>0.03</v>
      </c>
      <c r="AA30">
        <v>37.18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0.03</v>
      </c>
      <c r="AV30">
        <v>0</v>
      </c>
    </row>
    <row r="31" spans="1:48" ht="12.75">
      <c r="A31">
        <f>ROW(Source!A29)</f>
        <v>29</v>
      </c>
      <c r="B31">
        <v>7696395</v>
      </c>
      <c r="C31">
        <v>7696381</v>
      </c>
      <c r="D31">
        <v>6335903</v>
      </c>
      <c r="E31">
        <v>1</v>
      </c>
      <c r="F31">
        <v>1</v>
      </c>
      <c r="G31">
        <v>1</v>
      </c>
      <c r="H31">
        <v>3</v>
      </c>
      <c r="I31" t="s">
        <v>246</v>
      </c>
      <c r="J31" t="s">
        <v>247</v>
      </c>
      <c r="K31" t="s">
        <v>248</v>
      </c>
      <c r="L31">
        <v>1354</v>
      </c>
      <c r="N31">
        <v>1010</v>
      </c>
      <c r="O31" t="s">
        <v>52</v>
      </c>
      <c r="P31" t="s">
        <v>52</v>
      </c>
      <c r="Q31">
        <v>1</v>
      </c>
      <c r="Y31">
        <v>0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</v>
      </c>
      <c r="AV31">
        <v>0</v>
      </c>
    </row>
    <row r="32" spans="1:48" ht="12.75">
      <c r="A32">
        <f>ROW(Source!A29)</f>
        <v>29</v>
      </c>
      <c r="B32">
        <v>7696396</v>
      </c>
      <c r="C32">
        <v>7696381</v>
      </c>
      <c r="D32">
        <v>6345972</v>
      </c>
      <c r="E32">
        <v>1</v>
      </c>
      <c r="F32">
        <v>1</v>
      </c>
      <c r="G32">
        <v>1</v>
      </c>
      <c r="H32">
        <v>3</v>
      </c>
      <c r="I32" t="s">
        <v>249</v>
      </c>
      <c r="J32" t="s">
        <v>250</v>
      </c>
      <c r="K32" t="s">
        <v>63</v>
      </c>
      <c r="L32">
        <v>1346</v>
      </c>
      <c r="N32">
        <v>1009</v>
      </c>
      <c r="O32" t="s">
        <v>242</v>
      </c>
      <c r="P32" t="s">
        <v>242</v>
      </c>
      <c r="Q32">
        <v>1</v>
      </c>
      <c r="Y32">
        <v>0</v>
      </c>
      <c r="AA32">
        <v>14.17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</v>
      </c>
      <c r="AV32">
        <v>0</v>
      </c>
    </row>
    <row r="33" spans="1:48" ht="12.75">
      <c r="A33">
        <f>ROW(Source!A29)</f>
        <v>29</v>
      </c>
      <c r="B33">
        <v>7696397</v>
      </c>
      <c r="C33">
        <v>7696381</v>
      </c>
      <c r="D33">
        <v>6346061</v>
      </c>
      <c r="E33">
        <v>1</v>
      </c>
      <c r="F33">
        <v>1</v>
      </c>
      <c r="G33">
        <v>1</v>
      </c>
      <c r="H33">
        <v>3</v>
      </c>
      <c r="I33" t="s">
        <v>258</v>
      </c>
      <c r="J33" t="s">
        <v>259</v>
      </c>
      <c r="K33" t="s">
        <v>260</v>
      </c>
      <c r="L33">
        <v>1301</v>
      </c>
      <c r="N33">
        <v>1003</v>
      </c>
      <c r="O33" t="s">
        <v>254</v>
      </c>
      <c r="P33" t="s">
        <v>254</v>
      </c>
      <c r="Q33">
        <v>1</v>
      </c>
      <c r="Y33">
        <v>100</v>
      </c>
      <c r="AA33">
        <v>32.59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100</v>
      </c>
      <c r="AV33">
        <v>0</v>
      </c>
    </row>
    <row r="34" spans="1:48" ht="12.75">
      <c r="A34">
        <f>ROW(Source!A29)</f>
        <v>29</v>
      </c>
      <c r="B34">
        <v>7696398</v>
      </c>
      <c r="C34">
        <v>7696381</v>
      </c>
      <c r="D34">
        <v>6352624</v>
      </c>
      <c r="E34">
        <v>1</v>
      </c>
      <c r="F34">
        <v>1</v>
      </c>
      <c r="G34">
        <v>1</v>
      </c>
      <c r="H34">
        <v>3</v>
      </c>
      <c r="I34" t="s">
        <v>255</v>
      </c>
      <c r="J34" t="s">
        <v>256</v>
      </c>
      <c r="K34" t="s">
        <v>257</v>
      </c>
      <c r="L34">
        <v>1339</v>
      </c>
      <c r="N34">
        <v>1007</v>
      </c>
      <c r="O34" t="s">
        <v>229</v>
      </c>
      <c r="P34" t="s">
        <v>229</v>
      </c>
      <c r="Q34">
        <v>1</v>
      </c>
      <c r="Y34">
        <v>0.44</v>
      </c>
      <c r="AA34">
        <v>3.2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0.44</v>
      </c>
      <c r="AV34">
        <v>0</v>
      </c>
    </row>
    <row r="35" spans="1:48" ht="12.75">
      <c r="A35">
        <f>ROW(Source!A30)</f>
        <v>30</v>
      </c>
      <c r="B35">
        <v>7696417</v>
      </c>
      <c r="C35">
        <v>7696399</v>
      </c>
      <c r="D35">
        <v>5608703</v>
      </c>
      <c r="E35">
        <v>1</v>
      </c>
      <c r="F35">
        <v>1</v>
      </c>
      <c r="G35">
        <v>1</v>
      </c>
      <c r="H35">
        <v>1</v>
      </c>
      <c r="I35" t="s">
        <v>201</v>
      </c>
      <c r="K35" t="s">
        <v>202</v>
      </c>
      <c r="L35">
        <v>1476</v>
      </c>
      <c r="N35">
        <v>1013</v>
      </c>
      <c r="O35" t="s">
        <v>203</v>
      </c>
      <c r="P35" t="s">
        <v>204</v>
      </c>
      <c r="Q35">
        <v>1</v>
      </c>
      <c r="Y35">
        <v>30.91</v>
      </c>
      <c r="AA35">
        <v>0</v>
      </c>
      <c r="AB35">
        <v>0</v>
      </c>
      <c r="AC35">
        <v>0</v>
      </c>
      <c r="AD35">
        <v>9.61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30.91</v>
      </c>
      <c r="AV35">
        <v>1</v>
      </c>
    </row>
    <row r="36" spans="1:48" ht="12.75">
      <c r="A36">
        <f>ROW(Source!A30)</f>
        <v>30</v>
      </c>
      <c r="B36">
        <v>7696418</v>
      </c>
      <c r="C36">
        <v>7696399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28</v>
      </c>
      <c r="K36" t="s">
        <v>205</v>
      </c>
      <c r="L36">
        <v>608254</v>
      </c>
      <c r="N36">
        <v>1013</v>
      </c>
      <c r="O36" t="s">
        <v>206</v>
      </c>
      <c r="P36" t="s">
        <v>206</v>
      </c>
      <c r="Q36">
        <v>1</v>
      </c>
      <c r="Y36">
        <v>0.59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0.59</v>
      </c>
      <c r="AV36">
        <v>2</v>
      </c>
    </row>
    <row r="37" spans="1:48" ht="12.75">
      <c r="A37">
        <f>ROW(Source!A30)</f>
        <v>30</v>
      </c>
      <c r="B37">
        <v>7696419</v>
      </c>
      <c r="C37">
        <v>7696399</v>
      </c>
      <c r="D37">
        <v>6298374</v>
      </c>
      <c r="E37">
        <v>1</v>
      </c>
      <c r="F37">
        <v>1</v>
      </c>
      <c r="G37">
        <v>1</v>
      </c>
      <c r="H37">
        <v>2</v>
      </c>
      <c r="I37" t="s">
        <v>207</v>
      </c>
      <c r="J37" t="s">
        <v>208</v>
      </c>
      <c r="K37" t="s">
        <v>209</v>
      </c>
      <c r="L37">
        <v>1480</v>
      </c>
      <c r="N37">
        <v>1013</v>
      </c>
      <c r="O37" t="s">
        <v>210</v>
      </c>
      <c r="P37" t="s">
        <v>211</v>
      </c>
      <c r="Q37">
        <v>1</v>
      </c>
      <c r="Y37">
        <v>0.08</v>
      </c>
      <c r="AA37">
        <v>0</v>
      </c>
      <c r="AB37">
        <v>118.84</v>
      </c>
      <c r="AC37">
        <v>11.81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0.08</v>
      </c>
      <c r="AV37">
        <v>0</v>
      </c>
    </row>
    <row r="38" spans="1:48" ht="12.75">
      <c r="A38">
        <f>ROW(Source!A30)</f>
        <v>30</v>
      </c>
      <c r="B38">
        <v>7696420</v>
      </c>
      <c r="C38">
        <v>7696399</v>
      </c>
      <c r="D38">
        <v>6298458</v>
      </c>
      <c r="E38">
        <v>1</v>
      </c>
      <c r="F38">
        <v>1</v>
      </c>
      <c r="G38">
        <v>1</v>
      </c>
      <c r="H38">
        <v>2</v>
      </c>
      <c r="I38" t="s">
        <v>212</v>
      </c>
      <c r="J38" t="s">
        <v>213</v>
      </c>
      <c r="K38" t="s">
        <v>214</v>
      </c>
      <c r="L38">
        <v>1368</v>
      </c>
      <c r="N38">
        <v>1011</v>
      </c>
      <c r="O38" t="s">
        <v>215</v>
      </c>
      <c r="P38" t="s">
        <v>215</v>
      </c>
      <c r="Q38">
        <v>1</v>
      </c>
      <c r="Y38">
        <v>0.07</v>
      </c>
      <c r="AA38">
        <v>0</v>
      </c>
      <c r="AB38">
        <v>123.73</v>
      </c>
      <c r="AC38">
        <v>11.81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0.07</v>
      </c>
      <c r="AV38">
        <v>0</v>
      </c>
    </row>
    <row r="39" spans="1:48" ht="12.75">
      <c r="A39">
        <f>ROW(Source!A30)</f>
        <v>30</v>
      </c>
      <c r="B39">
        <v>7696421</v>
      </c>
      <c r="C39">
        <v>7696399</v>
      </c>
      <c r="D39">
        <v>6298561</v>
      </c>
      <c r="E39">
        <v>1</v>
      </c>
      <c r="F39">
        <v>1</v>
      </c>
      <c r="G39">
        <v>1</v>
      </c>
      <c r="H39">
        <v>2</v>
      </c>
      <c r="I39" t="s">
        <v>216</v>
      </c>
      <c r="J39" t="s">
        <v>217</v>
      </c>
      <c r="K39" t="s">
        <v>218</v>
      </c>
      <c r="L39">
        <v>1368</v>
      </c>
      <c r="N39">
        <v>1011</v>
      </c>
      <c r="O39" t="s">
        <v>215</v>
      </c>
      <c r="P39" t="s">
        <v>215</v>
      </c>
      <c r="Q39">
        <v>1</v>
      </c>
      <c r="Y39">
        <v>4.18</v>
      </c>
      <c r="AA39">
        <v>0</v>
      </c>
      <c r="AB39">
        <v>0.86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4.18</v>
      </c>
      <c r="AV39">
        <v>0</v>
      </c>
    </row>
    <row r="40" spans="1:48" ht="12.75">
      <c r="A40">
        <f>ROW(Source!A30)</f>
        <v>30</v>
      </c>
      <c r="B40">
        <v>7696422</v>
      </c>
      <c r="C40">
        <v>7696399</v>
      </c>
      <c r="D40">
        <v>6300745</v>
      </c>
      <c r="E40">
        <v>1</v>
      </c>
      <c r="F40">
        <v>1</v>
      </c>
      <c r="G40">
        <v>1</v>
      </c>
      <c r="H40">
        <v>2</v>
      </c>
      <c r="I40" t="s">
        <v>219</v>
      </c>
      <c r="J40" t="s">
        <v>220</v>
      </c>
      <c r="K40" t="s">
        <v>221</v>
      </c>
      <c r="L40">
        <v>1368</v>
      </c>
      <c r="N40">
        <v>1011</v>
      </c>
      <c r="O40" t="s">
        <v>215</v>
      </c>
      <c r="P40" t="s">
        <v>215</v>
      </c>
      <c r="Q40">
        <v>1</v>
      </c>
      <c r="Y40">
        <v>0.44</v>
      </c>
      <c r="AA40">
        <v>0</v>
      </c>
      <c r="AB40">
        <v>60.77</v>
      </c>
      <c r="AC40">
        <v>11.81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0.44</v>
      </c>
      <c r="AV40">
        <v>0</v>
      </c>
    </row>
    <row r="41" spans="1:48" ht="12.75">
      <c r="A41">
        <f>ROW(Source!A30)</f>
        <v>30</v>
      </c>
      <c r="B41">
        <v>7696423</v>
      </c>
      <c r="C41">
        <v>7696399</v>
      </c>
      <c r="D41">
        <v>6330593</v>
      </c>
      <c r="E41">
        <v>1</v>
      </c>
      <c r="F41">
        <v>1</v>
      </c>
      <c r="G41">
        <v>1</v>
      </c>
      <c r="H41">
        <v>3</v>
      </c>
      <c r="I41" t="s">
        <v>222</v>
      </c>
      <c r="J41" t="s">
        <v>223</v>
      </c>
      <c r="K41" t="s">
        <v>224</v>
      </c>
      <c r="L41">
        <v>1348</v>
      </c>
      <c r="N41">
        <v>1009</v>
      </c>
      <c r="O41" t="s">
        <v>225</v>
      </c>
      <c r="P41" t="s">
        <v>225</v>
      </c>
      <c r="Q41">
        <v>1000</v>
      </c>
      <c r="Y41">
        <v>0.00019</v>
      </c>
      <c r="AA41">
        <v>36736.06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0.00019</v>
      </c>
      <c r="AV41">
        <v>0</v>
      </c>
    </row>
    <row r="42" spans="1:48" ht="12.75">
      <c r="A42">
        <f>ROW(Source!A30)</f>
        <v>30</v>
      </c>
      <c r="B42">
        <v>7696424</v>
      </c>
      <c r="C42">
        <v>7696399</v>
      </c>
      <c r="D42">
        <v>6330860</v>
      </c>
      <c r="E42">
        <v>1</v>
      </c>
      <c r="F42">
        <v>1</v>
      </c>
      <c r="G42">
        <v>1</v>
      </c>
      <c r="H42">
        <v>3</v>
      </c>
      <c r="I42" t="s">
        <v>226</v>
      </c>
      <c r="J42" t="s">
        <v>227</v>
      </c>
      <c r="K42" t="s">
        <v>228</v>
      </c>
      <c r="L42">
        <v>1339</v>
      </c>
      <c r="N42">
        <v>1007</v>
      </c>
      <c r="O42" t="s">
        <v>229</v>
      </c>
      <c r="P42" t="s">
        <v>229</v>
      </c>
      <c r="Q42">
        <v>1</v>
      </c>
      <c r="Y42">
        <v>0.18</v>
      </c>
      <c r="AA42">
        <v>8.21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0.18</v>
      </c>
      <c r="AV42">
        <v>0</v>
      </c>
    </row>
    <row r="43" spans="1:48" ht="12.75">
      <c r="A43">
        <f>ROW(Source!A30)</f>
        <v>30</v>
      </c>
      <c r="B43">
        <v>7696425</v>
      </c>
      <c r="C43">
        <v>7696399</v>
      </c>
      <c r="D43">
        <v>6330924</v>
      </c>
      <c r="E43">
        <v>1</v>
      </c>
      <c r="F43">
        <v>1</v>
      </c>
      <c r="G43">
        <v>1</v>
      </c>
      <c r="H43">
        <v>3</v>
      </c>
      <c r="I43" t="s">
        <v>230</v>
      </c>
      <c r="J43" t="s">
        <v>231</v>
      </c>
      <c r="K43" t="s">
        <v>232</v>
      </c>
      <c r="L43">
        <v>1348</v>
      </c>
      <c r="N43">
        <v>1009</v>
      </c>
      <c r="O43" t="s">
        <v>225</v>
      </c>
      <c r="P43" t="s">
        <v>225</v>
      </c>
      <c r="Q43">
        <v>1000</v>
      </c>
      <c r="Y43">
        <v>0.00044</v>
      </c>
      <c r="AA43">
        <v>13884.14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0.00044</v>
      </c>
      <c r="AV43">
        <v>0</v>
      </c>
    </row>
    <row r="44" spans="1:48" ht="12.75">
      <c r="A44">
        <f>ROW(Source!A30)</f>
        <v>30</v>
      </c>
      <c r="B44">
        <v>7696426</v>
      </c>
      <c r="C44">
        <v>7696399</v>
      </c>
      <c r="D44">
        <v>6331164</v>
      </c>
      <c r="E44">
        <v>1</v>
      </c>
      <c r="F44">
        <v>1</v>
      </c>
      <c r="G44">
        <v>1</v>
      </c>
      <c r="H44">
        <v>3</v>
      </c>
      <c r="I44" t="s">
        <v>233</v>
      </c>
      <c r="J44" t="s">
        <v>234</v>
      </c>
      <c r="K44" t="s">
        <v>235</v>
      </c>
      <c r="L44">
        <v>1348</v>
      </c>
      <c r="N44">
        <v>1009</v>
      </c>
      <c r="O44" t="s">
        <v>225</v>
      </c>
      <c r="P44" t="s">
        <v>225</v>
      </c>
      <c r="Q44">
        <v>1000</v>
      </c>
      <c r="Y44">
        <v>0.00053</v>
      </c>
      <c r="AA44">
        <v>22015.32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0.00053</v>
      </c>
      <c r="AV44">
        <v>0</v>
      </c>
    </row>
    <row r="45" spans="1:48" ht="12.75">
      <c r="A45">
        <f>ROW(Source!A30)</f>
        <v>30</v>
      </c>
      <c r="B45">
        <v>7696427</v>
      </c>
      <c r="C45">
        <v>7696399</v>
      </c>
      <c r="D45">
        <v>6331344</v>
      </c>
      <c r="E45">
        <v>1</v>
      </c>
      <c r="F45">
        <v>1</v>
      </c>
      <c r="G45">
        <v>1</v>
      </c>
      <c r="H45">
        <v>3</v>
      </c>
      <c r="I45" t="s">
        <v>236</v>
      </c>
      <c r="J45" t="s">
        <v>237</v>
      </c>
      <c r="K45" t="s">
        <v>238</v>
      </c>
      <c r="L45">
        <v>1348</v>
      </c>
      <c r="N45">
        <v>1009</v>
      </c>
      <c r="O45" t="s">
        <v>225</v>
      </c>
      <c r="P45" t="s">
        <v>225</v>
      </c>
      <c r="Q45">
        <v>1000</v>
      </c>
      <c r="Y45">
        <v>0.001</v>
      </c>
      <c r="AA45">
        <v>14752.49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0.001</v>
      </c>
      <c r="AV45">
        <v>0</v>
      </c>
    </row>
    <row r="46" spans="1:48" ht="12.75">
      <c r="A46">
        <f>ROW(Source!A30)</f>
        <v>30</v>
      </c>
      <c r="B46">
        <v>7696428</v>
      </c>
      <c r="C46">
        <v>7696399</v>
      </c>
      <c r="D46">
        <v>6332139</v>
      </c>
      <c r="E46">
        <v>1</v>
      </c>
      <c r="F46">
        <v>1</v>
      </c>
      <c r="G46">
        <v>1</v>
      </c>
      <c r="H46">
        <v>3</v>
      </c>
      <c r="I46" t="s">
        <v>239</v>
      </c>
      <c r="J46" t="s">
        <v>240</v>
      </c>
      <c r="K46" t="s">
        <v>241</v>
      </c>
      <c r="L46">
        <v>1346</v>
      </c>
      <c r="N46">
        <v>1009</v>
      </c>
      <c r="O46" t="s">
        <v>242</v>
      </c>
      <c r="P46" t="s">
        <v>242</v>
      </c>
      <c r="Q46">
        <v>1</v>
      </c>
      <c r="Y46">
        <v>0.0025</v>
      </c>
      <c r="AA46">
        <v>2.7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0.0025</v>
      </c>
      <c r="AV46">
        <v>0</v>
      </c>
    </row>
    <row r="47" spans="1:48" ht="12.75">
      <c r="A47">
        <f>ROW(Source!A30)</f>
        <v>30</v>
      </c>
      <c r="B47">
        <v>7696429</v>
      </c>
      <c r="C47">
        <v>7696399</v>
      </c>
      <c r="D47">
        <v>6332204</v>
      </c>
      <c r="E47">
        <v>1</v>
      </c>
      <c r="F47">
        <v>1</v>
      </c>
      <c r="G47">
        <v>1</v>
      </c>
      <c r="H47">
        <v>3</v>
      </c>
      <c r="I47" t="s">
        <v>243</v>
      </c>
      <c r="J47" t="s">
        <v>244</v>
      </c>
      <c r="K47" t="s">
        <v>245</v>
      </c>
      <c r="L47">
        <v>1346</v>
      </c>
      <c r="N47">
        <v>1009</v>
      </c>
      <c r="O47" t="s">
        <v>242</v>
      </c>
      <c r="P47" t="s">
        <v>242</v>
      </c>
      <c r="Q47">
        <v>1</v>
      </c>
      <c r="Y47">
        <v>0.03</v>
      </c>
      <c r="AA47">
        <v>37.18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0.03</v>
      </c>
      <c r="AV47">
        <v>0</v>
      </c>
    </row>
    <row r="48" spans="1:48" ht="12.75">
      <c r="A48">
        <f>ROW(Source!A30)</f>
        <v>30</v>
      </c>
      <c r="B48">
        <v>7696430</v>
      </c>
      <c r="C48">
        <v>7696399</v>
      </c>
      <c r="D48">
        <v>6335903</v>
      </c>
      <c r="E48">
        <v>1</v>
      </c>
      <c r="F48">
        <v>1</v>
      </c>
      <c r="G48">
        <v>1</v>
      </c>
      <c r="H48">
        <v>3</v>
      </c>
      <c r="I48" t="s">
        <v>246</v>
      </c>
      <c r="J48" t="s">
        <v>247</v>
      </c>
      <c r="K48" t="s">
        <v>248</v>
      </c>
      <c r="L48">
        <v>1354</v>
      </c>
      <c r="N48">
        <v>1010</v>
      </c>
      <c r="O48" t="s">
        <v>52</v>
      </c>
      <c r="P48" t="s">
        <v>52</v>
      </c>
      <c r="Q48">
        <v>1</v>
      </c>
      <c r="Y48">
        <v>0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</v>
      </c>
      <c r="AV48">
        <v>0</v>
      </c>
    </row>
    <row r="49" spans="1:48" ht="12.75">
      <c r="A49">
        <f>ROW(Source!A30)</f>
        <v>30</v>
      </c>
      <c r="B49">
        <v>7696431</v>
      </c>
      <c r="C49">
        <v>7696399</v>
      </c>
      <c r="D49">
        <v>6345972</v>
      </c>
      <c r="E49">
        <v>1</v>
      </c>
      <c r="F49">
        <v>1</v>
      </c>
      <c r="G49">
        <v>1</v>
      </c>
      <c r="H49">
        <v>3</v>
      </c>
      <c r="I49" t="s">
        <v>249</v>
      </c>
      <c r="J49" t="s">
        <v>250</v>
      </c>
      <c r="K49" t="s">
        <v>63</v>
      </c>
      <c r="L49">
        <v>1346</v>
      </c>
      <c r="N49">
        <v>1009</v>
      </c>
      <c r="O49" t="s">
        <v>242</v>
      </c>
      <c r="P49" t="s">
        <v>242</v>
      </c>
      <c r="Q49">
        <v>1</v>
      </c>
      <c r="Y49">
        <v>0</v>
      </c>
      <c r="AA49">
        <v>14.17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</v>
      </c>
      <c r="AV49">
        <v>0</v>
      </c>
    </row>
    <row r="50" spans="1:48" ht="12.75">
      <c r="A50">
        <f>ROW(Source!A30)</f>
        <v>30</v>
      </c>
      <c r="B50">
        <v>7696432</v>
      </c>
      <c r="C50">
        <v>7696399</v>
      </c>
      <c r="D50">
        <v>6346062</v>
      </c>
      <c r="E50">
        <v>1</v>
      </c>
      <c r="F50">
        <v>1</v>
      </c>
      <c r="G50">
        <v>1</v>
      </c>
      <c r="H50">
        <v>3</v>
      </c>
      <c r="I50" t="s">
        <v>261</v>
      </c>
      <c r="J50" t="s">
        <v>262</v>
      </c>
      <c r="K50" t="s">
        <v>263</v>
      </c>
      <c r="L50">
        <v>1301</v>
      </c>
      <c r="N50">
        <v>1003</v>
      </c>
      <c r="O50" t="s">
        <v>254</v>
      </c>
      <c r="P50" t="s">
        <v>254</v>
      </c>
      <c r="Q50">
        <v>1</v>
      </c>
      <c r="Y50">
        <v>100</v>
      </c>
      <c r="AA50">
        <v>33.82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100</v>
      </c>
      <c r="AV50">
        <v>0</v>
      </c>
    </row>
    <row r="51" spans="1:48" ht="12.75">
      <c r="A51">
        <f>ROW(Source!A30)</f>
        <v>30</v>
      </c>
      <c r="B51">
        <v>7696433</v>
      </c>
      <c r="C51">
        <v>7696399</v>
      </c>
      <c r="D51">
        <v>6352624</v>
      </c>
      <c r="E51">
        <v>1</v>
      </c>
      <c r="F51">
        <v>1</v>
      </c>
      <c r="G51">
        <v>1</v>
      </c>
      <c r="H51">
        <v>3</v>
      </c>
      <c r="I51" t="s">
        <v>255</v>
      </c>
      <c r="J51" t="s">
        <v>256</v>
      </c>
      <c r="K51" t="s">
        <v>257</v>
      </c>
      <c r="L51">
        <v>1339</v>
      </c>
      <c r="N51">
        <v>1007</v>
      </c>
      <c r="O51" t="s">
        <v>229</v>
      </c>
      <c r="P51" t="s">
        <v>229</v>
      </c>
      <c r="Q51">
        <v>1</v>
      </c>
      <c r="Y51">
        <v>0.69</v>
      </c>
      <c r="AA51">
        <v>3.2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0.69</v>
      </c>
      <c r="AV51">
        <v>0</v>
      </c>
    </row>
    <row r="52" spans="1:48" ht="12.75">
      <c r="A52">
        <f>ROW(Source!A31)</f>
        <v>31</v>
      </c>
      <c r="B52">
        <v>7696435</v>
      </c>
      <c r="C52">
        <v>7696434</v>
      </c>
      <c r="D52">
        <v>5612376</v>
      </c>
      <c r="E52">
        <v>1</v>
      </c>
      <c r="F52">
        <v>1</v>
      </c>
      <c r="G52">
        <v>1</v>
      </c>
      <c r="H52">
        <v>1</v>
      </c>
      <c r="I52" t="s">
        <v>264</v>
      </c>
      <c r="K52" t="s">
        <v>265</v>
      </c>
      <c r="L52">
        <v>1476</v>
      </c>
      <c r="N52">
        <v>1013</v>
      </c>
      <c r="O52" t="s">
        <v>203</v>
      </c>
      <c r="P52" t="s">
        <v>204</v>
      </c>
      <c r="Q52">
        <v>1</v>
      </c>
      <c r="Y52">
        <v>79.75</v>
      </c>
      <c r="AA52">
        <v>0</v>
      </c>
      <c r="AB52">
        <v>0</v>
      </c>
      <c r="AC52">
        <v>0</v>
      </c>
      <c r="AD52">
        <v>9.76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79.75</v>
      </c>
      <c r="AV52">
        <v>1</v>
      </c>
    </row>
    <row r="53" spans="1:48" ht="12.75">
      <c r="A53">
        <f>ROW(Source!A31)</f>
        <v>31</v>
      </c>
      <c r="B53">
        <v>7696436</v>
      </c>
      <c r="C53">
        <v>7696434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28</v>
      </c>
      <c r="K53" t="s">
        <v>205</v>
      </c>
      <c r="L53">
        <v>608254</v>
      </c>
      <c r="N53">
        <v>1013</v>
      </c>
      <c r="O53" t="s">
        <v>206</v>
      </c>
      <c r="P53" t="s">
        <v>206</v>
      </c>
      <c r="Q53">
        <v>1</v>
      </c>
      <c r="Y53">
        <v>1.77</v>
      </c>
      <c r="AA53">
        <v>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1.77</v>
      </c>
      <c r="AV53">
        <v>2</v>
      </c>
    </row>
    <row r="54" spans="1:48" ht="12.75">
      <c r="A54">
        <f>ROW(Source!A31)</f>
        <v>31</v>
      </c>
      <c r="B54">
        <v>7696437</v>
      </c>
      <c r="C54">
        <v>7696434</v>
      </c>
      <c r="D54">
        <v>6298374</v>
      </c>
      <c r="E54">
        <v>1</v>
      </c>
      <c r="F54">
        <v>1</v>
      </c>
      <c r="G54">
        <v>1</v>
      </c>
      <c r="H54">
        <v>2</v>
      </c>
      <c r="I54" t="s">
        <v>207</v>
      </c>
      <c r="J54" t="s">
        <v>208</v>
      </c>
      <c r="K54" t="s">
        <v>209</v>
      </c>
      <c r="L54">
        <v>1480</v>
      </c>
      <c r="N54">
        <v>1013</v>
      </c>
      <c r="O54" t="s">
        <v>210</v>
      </c>
      <c r="P54" t="s">
        <v>211</v>
      </c>
      <c r="Q54">
        <v>1</v>
      </c>
      <c r="Y54">
        <v>0.27</v>
      </c>
      <c r="AA54">
        <v>0</v>
      </c>
      <c r="AB54">
        <v>118.84</v>
      </c>
      <c r="AC54">
        <v>11.81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0.27</v>
      </c>
      <c r="AV54">
        <v>0</v>
      </c>
    </row>
    <row r="55" spans="1:48" ht="12.75">
      <c r="A55">
        <f>ROW(Source!A31)</f>
        <v>31</v>
      </c>
      <c r="B55">
        <v>7696438</v>
      </c>
      <c r="C55">
        <v>7696434</v>
      </c>
      <c r="D55">
        <v>6298458</v>
      </c>
      <c r="E55">
        <v>1</v>
      </c>
      <c r="F55">
        <v>1</v>
      </c>
      <c r="G55">
        <v>1</v>
      </c>
      <c r="H55">
        <v>2</v>
      </c>
      <c r="I55" t="s">
        <v>212</v>
      </c>
      <c r="J55" t="s">
        <v>213</v>
      </c>
      <c r="K55" t="s">
        <v>214</v>
      </c>
      <c r="L55">
        <v>1368</v>
      </c>
      <c r="N55">
        <v>1011</v>
      </c>
      <c r="O55" t="s">
        <v>215</v>
      </c>
      <c r="P55" t="s">
        <v>215</v>
      </c>
      <c r="Q55">
        <v>1</v>
      </c>
      <c r="Y55">
        <v>0.1</v>
      </c>
      <c r="AA55">
        <v>0</v>
      </c>
      <c r="AB55">
        <v>123.73</v>
      </c>
      <c r="AC55">
        <v>11.81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0.1</v>
      </c>
      <c r="AV55">
        <v>0</v>
      </c>
    </row>
    <row r="56" spans="1:48" ht="12.75">
      <c r="A56">
        <f>ROW(Source!A31)</f>
        <v>31</v>
      </c>
      <c r="B56">
        <v>7696439</v>
      </c>
      <c r="C56">
        <v>7696434</v>
      </c>
      <c r="D56">
        <v>6298561</v>
      </c>
      <c r="E56">
        <v>1</v>
      </c>
      <c r="F56">
        <v>1</v>
      </c>
      <c r="G56">
        <v>1</v>
      </c>
      <c r="H56">
        <v>2</v>
      </c>
      <c r="I56" t="s">
        <v>216</v>
      </c>
      <c r="J56" t="s">
        <v>217</v>
      </c>
      <c r="K56" t="s">
        <v>218</v>
      </c>
      <c r="L56">
        <v>1368</v>
      </c>
      <c r="N56">
        <v>1011</v>
      </c>
      <c r="O56" t="s">
        <v>215</v>
      </c>
      <c r="P56" t="s">
        <v>215</v>
      </c>
      <c r="Q56">
        <v>1</v>
      </c>
      <c r="Y56">
        <v>34.92</v>
      </c>
      <c r="AA56">
        <v>0</v>
      </c>
      <c r="AB56">
        <v>0.86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34.92</v>
      </c>
      <c r="AV56">
        <v>0</v>
      </c>
    </row>
    <row r="57" spans="1:48" ht="12.75">
      <c r="A57">
        <f>ROW(Source!A31)</f>
        <v>31</v>
      </c>
      <c r="B57">
        <v>7696440</v>
      </c>
      <c r="C57">
        <v>7696434</v>
      </c>
      <c r="D57">
        <v>6300745</v>
      </c>
      <c r="E57">
        <v>1</v>
      </c>
      <c r="F57">
        <v>1</v>
      </c>
      <c r="G57">
        <v>1</v>
      </c>
      <c r="H57">
        <v>2</v>
      </c>
      <c r="I57" t="s">
        <v>219</v>
      </c>
      <c r="J57" t="s">
        <v>220</v>
      </c>
      <c r="K57" t="s">
        <v>221</v>
      </c>
      <c r="L57">
        <v>1368</v>
      </c>
      <c r="N57">
        <v>1011</v>
      </c>
      <c r="O57" t="s">
        <v>215</v>
      </c>
      <c r="P57" t="s">
        <v>215</v>
      </c>
      <c r="Q57">
        <v>1</v>
      </c>
      <c r="Y57">
        <v>1.4</v>
      </c>
      <c r="AA57">
        <v>0</v>
      </c>
      <c r="AB57">
        <v>60.77</v>
      </c>
      <c r="AC57">
        <v>11.81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1.4</v>
      </c>
      <c r="AV57">
        <v>0</v>
      </c>
    </row>
    <row r="58" spans="1:48" ht="12.75">
      <c r="A58">
        <f>ROW(Source!A31)</f>
        <v>31</v>
      </c>
      <c r="B58">
        <v>7696441</v>
      </c>
      <c r="C58">
        <v>7696434</v>
      </c>
      <c r="D58">
        <v>6330860</v>
      </c>
      <c r="E58">
        <v>1</v>
      </c>
      <c r="F58">
        <v>1</v>
      </c>
      <c r="G58">
        <v>1</v>
      </c>
      <c r="H58">
        <v>3</v>
      </c>
      <c r="I58" t="s">
        <v>226</v>
      </c>
      <c r="J58" t="s">
        <v>227</v>
      </c>
      <c r="K58" t="s">
        <v>228</v>
      </c>
      <c r="L58">
        <v>1339</v>
      </c>
      <c r="N58">
        <v>1007</v>
      </c>
      <c r="O58" t="s">
        <v>229</v>
      </c>
      <c r="P58" t="s">
        <v>229</v>
      </c>
      <c r="Q58">
        <v>1</v>
      </c>
      <c r="Y58">
        <v>0.67</v>
      </c>
      <c r="AA58">
        <v>8.21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0.67</v>
      </c>
      <c r="AV58">
        <v>0</v>
      </c>
    </row>
    <row r="59" spans="1:48" ht="12.75">
      <c r="A59">
        <f>ROW(Source!A31)</f>
        <v>31</v>
      </c>
      <c r="B59">
        <v>7696442</v>
      </c>
      <c r="C59">
        <v>7696434</v>
      </c>
      <c r="D59">
        <v>6331344</v>
      </c>
      <c r="E59">
        <v>1</v>
      </c>
      <c r="F59">
        <v>1</v>
      </c>
      <c r="G59">
        <v>1</v>
      </c>
      <c r="H59">
        <v>3</v>
      </c>
      <c r="I59" t="s">
        <v>236</v>
      </c>
      <c r="J59" t="s">
        <v>237</v>
      </c>
      <c r="K59" t="s">
        <v>238</v>
      </c>
      <c r="L59">
        <v>1348</v>
      </c>
      <c r="N59">
        <v>1009</v>
      </c>
      <c r="O59" t="s">
        <v>225</v>
      </c>
      <c r="P59" t="s">
        <v>225</v>
      </c>
      <c r="Q59">
        <v>1000</v>
      </c>
      <c r="Y59">
        <v>0.0005</v>
      </c>
      <c r="AA59">
        <v>14752.49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0.0005</v>
      </c>
      <c r="AV59">
        <v>0</v>
      </c>
    </row>
    <row r="60" spans="1:48" ht="12.75">
      <c r="A60">
        <f>ROW(Source!A31)</f>
        <v>31</v>
      </c>
      <c r="B60">
        <v>7696443</v>
      </c>
      <c r="C60">
        <v>7696434</v>
      </c>
      <c r="D60">
        <v>6332139</v>
      </c>
      <c r="E60">
        <v>1</v>
      </c>
      <c r="F60">
        <v>1</v>
      </c>
      <c r="G60">
        <v>1</v>
      </c>
      <c r="H60">
        <v>3</v>
      </c>
      <c r="I60" t="s">
        <v>239</v>
      </c>
      <c r="J60" t="s">
        <v>240</v>
      </c>
      <c r="K60" t="s">
        <v>241</v>
      </c>
      <c r="L60">
        <v>1346</v>
      </c>
      <c r="N60">
        <v>1009</v>
      </c>
      <c r="O60" t="s">
        <v>242</v>
      </c>
      <c r="P60" t="s">
        <v>242</v>
      </c>
      <c r="Q60">
        <v>1</v>
      </c>
      <c r="Y60">
        <v>0.0393</v>
      </c>
      <c r="AA60">
        <v>2.7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0.0393</v>
      </c>
      <c r="AV60">
        <v>0</v>
      </c>
    </row>
    <row r="61" spans="1:48" ht="12.75">
      <c r="A61">
        <f>ROW(Source!A31)</f>
        <v>31</v>
      </c>
      <c r="B61">
        <v>7696444</v>
      </c>
      <c r="C61">
        <v>7696434</v>
      </c>
      <c r="D61">
        <v>6332140</v>
      </c>
      <c r="E61">
        <v>1</v>
      </c>
      <c r="F61">
        <v>1</v>
      </c>
      <c r="G61">
        <v>1</v>
      </c>
      <c r="H61">
        <v>3</v>
      </c>
      <c r="I61" t="s">
        <v>266</v>
      </c>
      <c r="J61" t="s">
        <v>267</v>
      </c>
      <c r="K61" t="s">
        <v>268</v>
      </c>
      <c r="L61">
        <v>1339</v>
      </c>
      <c r="N61">
        <v>1007</v>
      </c>
      <c r="O61" t="s">
        <v>229</v>
      </c>
      <c r="P61" t="s">
        <v>229</v>
      </c>
      <c r="Q61">
        <v>1</v>
      </c>
      <c r="Y61">
        <v>0.61</v>
      </c>
      <c r="AA61">
        <v>46.97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0.61</v>
      </c>
      <c r="AV61">
        <v>0</v>
      </c>
    </row>
    <row r="62" spans="1:48" ht="12.75">
      <c r="A62">
        <f>ROW(Source!A31)</f>
        <v>31</v>
      </c>
      <c r="B62">
        <v>7696445</v>
      </c>
      <c r="C62">
        <v>7696434</v>
      </c>
      <c r="D62">
        <v>6345972</v>
      </c>
      <c r="E62">
        <v>1</v>
      </c>
      <c r="F62">
        <v>1</v>
      </c>
      <c r="G62">
        <v>1</v>
      </c>
      <c r="H62">
        <v>3</v>
      </c>
      <c r="I62" t="s">
        <v>249</v>
      </c>
      <c r="J62" t="s">
        <v>250</v>
      </c>
      <c r="K62" t="s">
        <v>63</v>
      </c>
      <c r="L62">
        <v>1346</v>
      </c>
      <c r="N62">
        <v>1009</v>
      </c>
      <c r="O62" t="s">
        <v>242</v>
      </c>
      <c r="P62" t="s">
        <v>242</v>
      </c>
      <c r="Q62">
        <v>1</v>
      </c>
      <c r="Y62">
        <v>0</v>
      </c>
      <c r="AA62">
        <v>14.17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</v>
      </c>
      <c r="AV62">
        <v>0</v>
      </c>
    </row>
    <row r="63" spans="1:48" ht="12.75">
      <c r="A63">
        <f>ROW(Source!A31)</f>
        <v>31</v>
      </c>
      <c r="B63">
        <v>7696446</v>
      </c>
      <c r="C63">
        <v>7696434</v>
      </c>
      <c r="D63">
        <v>6346069</v>
      </c>
      <c r="E63">
        <v>1</v>
      </c>
      <c r="F63">
        <v>1</v>
      </c>
      <c r="G63">
        <v>1</v>
      </c>
      <c r="H63">
        <v>3</v>
      </c>
      <c r="I63" t="s">
        <v>269</v>
      </c>
      <c r="J63" t="s">
        <v>270</v>
      </c>
      <c r="K63" t="s">
        <v>271</v>
      </c>
      <c r="L63">
        <v>1301</v>
      </c>
      <c r="N63">
        <v>1003</v>
      </c>
      <c r="O63" t="s">
        <v>254</v>
      </c>
      <c r="P63" t="s">
        <v>254</v>
      </c>
      <c r="Q63">
        <v>1</v>
      </c>
      <c r="Y63">
        <v>100</v>
      </c>
      <c r="AA63">
        <v>130.24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100</v>
      </c>
      <c r="AV63">
        <v>0</v>
      </c>
    </row>
    <row r="64" spans="1:48" ht="12.75">
      <c r="A64">
        <f>ROW(Source!A31)</f>
        <v>31</v>
      </c>
      <c r="B64">
        <v>7696447</v>
      </c>
      <c r="C64">
        <v>7696434</v>
      </c>
      <c r="D64">
        <v>6350742</v>
      </c>
      <c r="E64">
        <v>1</v>
      </c>
      <c r="F64">
        <v>1</v>
      </c>
      <c r="G64">
        <v>1</v>
      </c>
      <c r="H64">
        <v>3</v>
      </c>
      <c r="I64" t="s">
        <v>272</v>
      </c>
      <c r="J64" t="s">
        <v>273</v>
      </c>
      <c r="K64" t="s">
        <v>274</v>
      </c>
      <c r="L64">
        <v>1339</v>
      </c>
      <c r="N64">
        <v>1007</v>
      </c>
      <c r="O64" t="s">
        <v>229</v>
      </c>
      <c r="P64" t="s">
        <v>229</v>
      </c>
      <c r="Q64">
        <v>1</v>
      </c>
      <c r="Y64">
        <v>0.021</v>
      </c>
      <c r="AA64">
        <v>470.2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0.021</v>
      </c>
      <c r="AV64">
        <v>0</v>
      </c>
    </row>
    <row r="65" spans="1:48" ht="12.75">
      <c r="A65">
        <f>ROW(Source!A31)</f>
        <v>31</v>
      </c>
      <c r="B65">
        <v>7696448</v>
      </c>
      <c r="C65">
        <v>7696434</v>
      </c>
      <c r="D65">
        <v>6352624</v>
      </c>
      <c r="E65">
        <v>1</v>
      </c>
      <c r="F65">
        <v>1</v>
      </c>
      <c r="G65">
        <v>1</v>
      </c>
      <c r="H65">
        <v>3</v>
      </c>
      <c r="I65" t="s">
        <v>255</v>
      </c>
      <c r="J65" t="s">
        <v>256</v>
      </c>
      <c r="K65" t="s">
        <v>257</v>
      </c>
      <c r="L65">
        <v>1339</v>
      </c>
      <c r="N65">
        <v>1007</v>
      </c>
      <c r="O65" t="s">
        <v>229</v>
      </c>
      <c r="P65" t="s">
        <v>229</v>
      </c>
      <c r="Q65">
        <v>1</v>
      </c>
      <c r="Y65">
        <v>10.99</v>
      </c>
      <c r="AA65">
        <v>3.2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10.99</v>
      </c>
      <c r="AV65">
        <v>0</v>
      </c>
    </row>
    <row r="66" spans="1:48" ht="12.75">
      <c r="A66">
        <f>ROW(Source!A32)</f>
        <v>32</v>
      </c>
      <c r="B66">
        <v>7696450</v>
      </c>
      <c r="C66">
        <v>7696449</v>
      </c>
      <c r="D66">
        <v>5612376</v>
      </c>
      <c r="E66">
        <v>1</v>
      </c>
      <c r="F66">
        <v>1</v>
      </c>
      <c r="G66">
        <v>1</v>
      </c>
      <c r="H66">
        <v>1</v>
      </c>
      <c r="I66" t="s">
        <v>264</v>
      </c>
      <c r="K66" t="s">
        <v>265</v>
      </c>
      <c r="L66">
        <v>1476</v>
      </c>
      <c r="N66">
        <v>1013</v>
      </c>
      <c r="O66" t="s">
        <v>203</v>
      </c>
      <c r="P66" t="s">
        <v>204</v>
      </c>
      <c r="Q66">
        <v>1</v>
      </c>
      <c r="Y66">
        <v>60.83</v>
      </c>
      <c r="AA66">
        <v>0</v>
      </c>
      <c r="AB66">
        <v>0</v>
      </c>
      <c r="AC66">
        <v>0</v>
      </c>
      <c r="AD66">
        <v>9.76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60.83</v>
      </c>
      <c r="AV66">
        <v>1</v>
      </c>
    </row>
    <row r="67" spans="1:48" ht="12.75">
      <c r="A67">
        <f>ROW(Source!A32)</f>
        <v>32</v>
      </c>
      <c r="B67">
        <v>7696451</v>
      </c>
      <c r="C67">
        <v>7696449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28</v>
      </c>
      <c r="K67" t="s">
        <v>205</v>
      </c>
      <c r="L67">
        <v>608254</v>
      </c>
      <c r="N67">
        <v>1013</v>
      </c>
      <c r="O67" t="s">
        <v>206</v>
      </c>
      <c r="P67" t="s">
        <v>206</v>
      </c>
      <c r="Q67">
        <v>1</v>
      </c>
      <c r="Y67">
        <v>1.06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1.06</v>
      </c>
      <c r="AV67">
        <v>2</v>
      </c>
    </row>
    <row r="68" spans="1:48" ht="12.75">
      <c r="A68">
        <f>ROW(Source!A32)</f>
        <v>32</v>
      </c>
      <c r="B68">
        <v>7696452</v>
      </c>
      <c r="C68">
        <v>7696449</v>
      </c>
      <c r="D68">
        <v>6298374</v>
      </c>
      <c r="E68">
        <v>1</v>
      </c>
      <c r="F68">
        <v>1</v>
      </c>
      <c r="G68">
        <v>1</v>
      </c>
      <c r="H68">
        <v>2</v>
      </c>
      <c r="I68" t="s">
        <v>207</v>
      </c>
      <c r="J68" t="s">
        <v>208</v>
      </c>
      <c r="K68" t="s">
        <v>209</v>
      </c>
      <c r="L68">
        <v>1480</v>
      </c>
      <c r="N68">
        <v>1013</v>
      </c>
      <c r="O68" t="s">
        <v>210</v>
      </c>
      <c r="P68" t="s">
        <v>211</v>
      </c>
      <c r="Q68">
        <v>1</v>
      </c>
      <c r="Y68">
        <v>0.12</v>
      </c>
      <c r="AA68">
        <v>0</v>
      </c>
      <c r="AB68">
        <v>118.84</v>
      </c>
      <c r="AC68">
        <v>11.81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0.12</v>
      </c>
      <c r="AV68">
        <v>0</v>
      </c>
    </row>
    <row r="69" spans="1:48" ht="12.75">
      <c r="A69">
        <f>ROW(Source!A32)</f>
        <v>32</v>
      </c>
      <c r="B69">
        <v>7696453</v>
      </c>
      <c r="C69">
        <v>7696449</v>
      </c>
      <c r="D69">
        <v>6298458</v>
      </c>
      <c r="E69">
        <v>1</v>
      </c>
      <c r="F69">
        <v>1</v>
      </c>
      <c r="G69">
        <v>1</v>
      </c>
      <c r="H69">
        <v>2</v>
      </c>
      <c r="I69" t="s">
        <v>212</v>
      </c>
      <c r="J69" t="s">
        <v>213</v>
      </c>
      <c r="K69" t="s">
        <v>214</v>
      </c>
      <c r="L69">
        <v>1368</v>
      </c>
      <c r="N69">
        <v>1011</v>
      </c>
      <c r="O69" t="s">
        <v>215</v>
      </c>
      <c r="P69" t="s">
        <v>215</v>
      </c>
      <c r="Q69">
        <v>1</v>
      </c>
      <c r="Y69">
        <v>0.07</v>
      </c>
      <c r="AA69">
        <v>0</v>
      </c>
      <c r="AB69">
        <v>123.73</v>
      </c>
      <c r="AC69">
        <v>11.81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0.07</v>
      </c>
      <c r="AV69">
        <v>0</v>
      </c>
    </row>
    <row r="70" spans="1:48" ht="12.75">
      <c r="A70">
        <f>ROW(Source!A32)</f>
        <v>32</v>
      </c>
      <c r="B70">
        <v>7696454</v>
      </c>
      <c r="C70">
        <v>7696449</v>
      </c>
      <c r="D70">
        <v>6298561</v>
      </c>
      <c r="E70">
        <v>1</v>
      </c>
      <c r="F70">
        <v>1</v>
      </c>
      <c r="G70">
        <v>1</v>
      </c>
      <c r="H70">
        <v>2</v>
      </c>
      <c r="I70" t="s">
        <v>216</v>
      </c>
      <c r="J70" t="s">
        <v>217</v>
      </c>
      <c r="K70" t="s">
        <v>218</v>
      </c>
      <c r="L70">
        <v>1368</v>
      </c>
      <c r="N70">
        <v>1011</v>
      </c>
      <c r="O70" t="s">
        <v>215</v>
      </c>
      <c r="P70" t="s">
        <v>215</v>
      </c>
      <c r="Q70">
        <v>1</v>
      </c>
      <c r="Y70">
        <v>18.44</v>
      </c>
      <c r="AA70">
        <v>0</v>
      </c>
      <c r="AB70">
        <v>0.86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18.44</v>
      </c>
      <c r="AV70">
        <v>0</v>
      </c>
    </row>
    <row r="71" spans="1:48" ht="12.75">
      <c r="A71">
        <f>ROW(Source!A32)</f>
        <v>32</v>
      </c>
      <c r="B71">
        <v>7696455</v>
      </c>
      <c r="C71">
        <v>7696449</v>
      </c>
      <c r="D71">
        <v>6300745</v>
      </c>
      <c r="E71">
        <v>1</v>
      </c>
      <c r="F71">
        <v>1</v>
      </c>
      <c r="G71">
        <v>1</v>
      </c>
      <c r="H71">
        <v>2</v>
      </c>
      <c r="I71" t="s">
        <v>219</v>
      </c>
      <c r="J71" t="s">
        <v>220</v>
      </c>
      <c r="K71" t="s">
        <v>221</v>
      </c>
      <c r="L71">
        <v>1368</v>
      </c>
      <c r="N71">
        <v>1011</v>
      </c>
      <c r="O71" t="s">
        <v>215</v>
      </c>
      <c r="P71" t="s">
        <v>215</v>
      </c>
      <c r="Q71">
        <v>1</v>
      </c>
      <c r="Y71">
        <v>0.87</v>
      </c>
      <c r="AA71">
        <v>0</v>
      </c>
      <c r="AB71">
        <v>60.77</v>
      </c>
      <c r="AC71">
        <v>11.81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0.87</v>
      </c>
      <c r="AV71">
        <v>0</v>
      </c>
    </row>
    <row r="72" spans="1:48" ht="12.75">
      <c r="A72">
        <f>ROW(Source!A32)</f>
        <v>32</v>
      </c>
      <c r="B72">
        <v>7696456</v>
      </c>
      <c r="C72">
        <v>7696449</v>
      </c>
      <c r="D72">
        <v>6330860</v>
      </c>
      <c r="E72">
        <v>1</v>
      </c>
      <c r="F72">
        <v>1</v>
      </c>
      <c r="G72">
        <v>1</v>
      </c>
      <c r="H72">
        <v>3</v>
      </c>
      <c r="I72" t="s">
        <v>226</v>
      </c>
      <c r="J72" t="s">
        <v>227</v>
      </c>
      <c r="K72" t="s">
        <v>228</v>
      </c>
      <c r="L72">
        <v>1339</v>
      </c>
      <c r="N72">
        <v>1007</v>
      </c>
      <c r="O72" t="s">
        <v>229</v>
      </c>
      <c r="P72" t="s">
        <v>229</v>
      </c>
      <c r="Q72">
        <v>1</v>
      </c>
      <c r="Y72">
        <v>0.35</v>
      </c>
      <c r="AA72">
        <v>8.21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0.35</v>
      </c>
      <c r="AV72">
        <v>0</v>
      </c>
    </row>
    <row r="73" spans="1:48" ht="12.75">
      <c r="A73">
        <f>ROW(Source!A32)</f>
        <v>32</v>
      </c>
      <c r="B73">
        <v>7696457</v>
      </c>
      <c r="C73">
        <v>7696449</v>
      </c>
      <c r="D73">
        <v>6331344</v>
      </c>
      <c r="E73">
        <v>1</v>
      </c>
      <c r="F73">
        <v>1</v>
      </c>
      <c r="G73">
        <v>1</v>
      </c>
      <c r="H73">
        <v>3</v>
      </c>
      <c r="I73" t="s">
        <v>236</v>
      </c>
      <c r="J73" t="s">
        <v>237</v>
      </c>
      <c r="K73" t="s">
        <v>238</v>
      </c>
      <c r="L73">
        <v>1348</v>
      </c>
      <c r="N73">
        <v>1009</v>
      </c>
      <c r="O73" t="s">
        <v>225</v>
      </c>
      <c r="P73" t="s">
        <v>225</v>
      </c>
      <c r="Q73">
        <v>1000</v>
      </c>
      <c r="Y73">
        <v>0.0002</v>
      </c>
      <c r="AA73">
        <v>14752.49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0.0002</v>
      </c>
      <c r="AV73">
        <v>0</v>
      </c>
    </row>
    <row r="74" spans="1:48" ht="12.75">
      <c r="A74">
        <f>ROW(Source!A32)</f>
        <v>32</v>
      </c>
      <c r="B74">
        <v>7696458</v>
      </c>
      <c r="C74">
        <v>7696449</v>
      </c>
      <c r="D74">
        <v>6332139</v>
      </c>
      <c r="E74">
        <v>1</v>
      </c>
      <c r="F74">
        <v>1</v>
      </c>
      <c r="G74">
        <v>1</v>
      </c>
      <c r="H74">
        <v>3</v>
      </c>
      <c r="I74" t="s">
        <v>239</v>
      </c>
      <c r="J74" t="s">
        <v>240</v>
      </c>
      <c r="K74" t="s">
        <v>241</v>
      </c>
      <c r="L74">
        <v>1346</v>
      </c>
      <c r="N74">
        <v>1009</v>
      </c>
      <c r="O74" t="s">
        <v>242</v>
      </c>
      <c r="P74" t="s">
        <v>242</v>
      </c>
      <c r="Q74">
        <v>1</v>
      </c>
      <c r="Y74">
        <v>0.0099</v>
      </c>
      <c r="AA74">
        <v>2.7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0.0099</v>
      </c>
      <c r="AV74">
        <v>0</v>
      </c>
    </row>
    <row r="75" spans="1:48" ht="12.75">
      <c r="A75">
        <f>ROW(Source!A32)</f>
        <v>32</v>
      </c>
      <c r="B75">
        <v>7696459</v>
      </c>
      <c r="C75">
        <v>7696449</v>
      </c>
      <c r="D75">
        <v>6332140</v>
      </c>
      <c r="E75">
        <v>1</v>
      </c>
      <c r="F75">
        <v>1</v>
      </c>
      <c r="G75">
        <v>1</v>
      </c>
      <c r="H75">
        <v>3</v>
      </c>
      <c r="I75" t="s">
        <v>266</v>
      </c>
      <c r="J75" t="s">
        <v>267</v>
      </c>
      <c r="K75" t="s">
        <v>268</v>
      </c>
      <c r="L75">
        <v>1339</v>
      </c>
      <c r="N75">
        <v>1007</v>
      </c>
      <c r="O75" t="s">
        <v>229</v>
      </c>
      <c r="P75" t="s">
        <v>229</v>
      </c>
      <c r="Q75">
        <v>1</v>
      </c>
      <c r="Y75">
        <v>0.32</v>
      </c>
      <c r="AA75">
        <v>46.97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0.32</v>
      </c>
      <c r="AV75">
        <v>0</v>
      </c>
    </row>
    <row r="76" spans="1:48" ht="12.75">
      <c r="A76">
        <f>ROW(Source!A32)</f>
        <v>32</v>
      </c>
      <c r="B76">
        <v>7696460</v>
      </c>
      <c r="C76">
        <v>7696449</v>
      </c>
      <c r="D76">
        <v>6345972</v>
      </c>
      <c r="E76">
        <v>1</v>
      </c>
      <c r="F76">
        <v>1</v>
      </c>
      <c r="G76">
        <v>1</v>
      </c>
      <c r="H76">
        <v>3</v>
      </c>
      <c r="I76" t="s">
        <v>249</v>
      </c>
      <c r="J76" t="s">
        <v>250</v>
      </c>
      <c r="K76" t="s">
        <v>63</v>
      </c>
      <c r="L76">
        <v>1346</v>
      </c>
      <c r="N76">
        <v>1009</v>
      </c>
      <c r="O76" t="s">
        <v>242</v>
      </c>
      <c r="P76" t="s">
        <v>242</v>
      </c>
      <c r="Q76">
        <v>1</v>
      </c>
      <c r="Y76">
        <v>0</v>
      </c>
      <c r="AA76">
        <v>14.17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</v>
      </c>
      <c r="AV76">
        <v>0</v>
      </c>
    </row>
    <row r="77" spans="1:48" ht="12.75">
      <c r="A77">
        <f>ROW(Source!A32)</f>
        <v>32</v>
      </c>
      <c r="B77">
        <v>7696461</v>
      </c>
      <c r="C77">
        <v>7696449</v>
      </c>
      <c r="D77">
        <v>6346066</v>
      </c>
      <c r="E77">
        <v>1</v>
      </c>
      <c r="F77">
        <v>1</v>
      </c>
      <c r="G77">
        <v>1</v>
      </c>
      <c r="H77">
        <v>3</v>
      </c>
      <c r="I77" t="s">
        <v>275</v>
      </c>
      <c r="J77" t="s">
        <v>276</v>
      </c>
      <c r="K77" t="s">
        <v>277</v>
      </c>
      <c r="L77">
        <v>1301</v>
      </c>
      <c r="N77">
        <v>1003</v>
      </c>
      <c r="O77" t="s">
        <v>254</v>
      </c>
      <c r="P77" t="s">
        <v>254</v>
      </c>
      <c r="Q77">
        <v>1</v>
      </c>
      <c r="Y77">
        <v>100</v>
      </c>
      <c r="AA77">
        <v>56.2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100</v>
      </c>
      <c r="AV77">
        <v>0</v>
      </c>
    </row>
    <row r="78" spans="1:48" ht="12.75">
      <c r="A78">
        <f>ROW(Source!A32)</f>
        <v>32</v>
      </c>
      <c r="B78">
        <v>7696462</v>
      </c>
      <c r="C78">
        <v>7696449</v>
      </c>
      <c r="D78">
        <v>6350742</v>
      </c>
      <c r="E78">
        <v>1</v>
      </c>
      <c r="F78">
        <v>1</v>
      </c>
      <c r="G78">
        <v>1</v>
      </c>
      <c r="H78">
        <v>3</v>
      </c>
      <c r="I78" t="s">
        <v>272</v>
      </c>
      <c r="J78" t="s">
        <v>273</v>
      </c>
      <c r="K78" t="s">
        <v>274</v>
      </c>
      <c r="L78">
        <v>1339</v>
      </c>
      <c r="N78">
        <v>1007</v>
      </c>
      <c r="O78" t="s">
        <v>229</v>
      </c>
      <c r="P78" t="s">
        <v>229</v>
      </c>
      <c r="Q78">
        <v>1</v>
      </c>
      <c r="Y78">
        <v>0.008</v>
      </c>
      <c r="AA78">
        <v>470.2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0.008</v>
      </c>
      <c r="AV78">
        <v>0</v>
      </c>
    </row>
    <row r="79" spans="1:48" ht="12.75">
      <c r="A79">
        <f>ROW(Source!A32)</f>
        <v>32</v>
      </c>
      <c r="B79">
        <v>7696463</v>
      </c>
      <c r="C79">
        <v>7696449</v>
      </c>
      <c r="D79">
        <v>6352624</v>
      </c>
      <c r="E79">
        <v>1</v>
      </c>
      <c r="F79">
        <v>1</v>
      </c>
      <c r="G79">
        <v>1</v>
      </c>
      <c r="H79">
        <v>3</v>
      </c>
      <c r="I79" t="s">
        <v>255</v>
      </c>
      <c r="J79" t="s">
        <v>256</v>
      </c>
      <c r="K79" t="s">
        <v>257</v>
      </c>
      <c r="L79">
        <v>1339</v>
      </c>
      <c r="N79">
        <v>1007</v>
      </c>
      <c r="O79" t="s">
        <v>229</v>
      </c>
      <c r="P79" t="s">
        <v>229</v>
      </c>
      <c r="Q79">
        <v>1</v>
      </c>
      <c r="Y79">
        <v>2.75</v>
      </c>
      <c r="AA79">
        <v>3.2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2.75</v>
      </c>
      <c r="AV79">
        <v>0</v>
      </c>
    </row>
    <row r="80" spans="1:48" ht="12.75">
      <c r="A80">
        <f>ROW(Source!A33)</f>
        <v>33</v>
      </c>
      <c r="B80">
        <v>7696465</v>
      </c>
      <c r="C80">
        <v>7696464</v>
      </c>
      <c r="D80">
        <v>5635240</v>
      </c>
      <c r="E80">
        <v>1</v>
      </c>
      <c r="F80">
        <v>1</v>
      </c>
      <c r="G80">
        <v>1</v>
      </c>
      <c r="H80">
        <v>1</v>
      </c>
      <c r="I80" t="s">
        <v>278</v>
      </c>
      <c r="K80" t="s">
        <v>279</v>
      </c>
      <c r="L80">
        <v>1476</v>
      </c>
      <c r="N80">
        <v>1013</v>
      </c>
      <c r="O80" t="s">
        <v>203</v>
      </c>
      <c r="P80" t="s">
        <v>204</v>
      </c>
      <c r="Q80">
        <v>1</v>
      </c>
      <c r="Y80">
        <v>34.9</v>
      </c>
      <c r="AA80">
        <v>0</v>
      </c>
      <c r="AB80">
        <v>0</v>
      </c>
      <c r="AC80">
        <v>0</v>
      </c>
      <c r="AD80">
        <v>11.26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34.9</v>
      </c>
      <c r="AV80">
        <v>1</v>
      </c>
    </row>
    <row r="81" spans="1:48" ht="12.75">
      <c r="A81">
        <f>ROW(Source!A33)</f>
        <v>33</v>
      </c>
      <c r="B81">
        <v>7696466</v>
      </c>
      <c r="C81">
        <v>7696464</v>
      </c>
      <c r="D81">
        <v>6330924</v>
      </c>
      <c r="E81">
        <v>1</v>
      </c>
      <c r="F81">
        <v>1</v>
      </c>
      <c r="G81">
        <v>1</v>
      </c>
      <c r="H81">
        <v>3</v>
      </c>
      <c r="I81" t="s">
        <v>230</v>
      </c>
      <c r="J81" t="s">
        <v>231</v>
      </c>
      <c r="K81" t="s">
        <v>232</v>
      </c>
      <c r="L81">
        <v>1348</v>
      </c>
      <c r="N81">
        <v>1009</v>
      </c>
      <c r="O81" t="s">
        <v>225</v>
      </c>
      <c r="P81" t="s">
        <v>225</v>
      </c>
      <c r="Q81">
        <v>1000</v>
      </c>
      <c r="Y81">
        <v>0.0009</v>
      </c>
      <c r="AA81">
        <v>13884.14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0.0009</v>
      </c>
      <c r="AV81">
        <v>0</v>
      </c>
    </row>
    <row r="82" spans="1:48" ht="12.75">
      <c r="A82">
        <f>ROW(Source!A33)</f>
        <v>33</v>
      </c>
      <c r="B82">
        <v>7696467</v>
      </c>
      <c r="C82">
        <v>7696464</v>
      </c>
      <c r="D82">
        <v>6331159</v>
      </c>
      <c r="E82">
        <v>1</v>
      </c>
      <c r="F82">
        <v>1</v>
      </c>
      <c r="G82">
        <v>1</v>
      </c>
      <c r="H82">
        <v>3</v>
      </c>
      <c r="I82" t="s">
        <v>280</v>
      </c>
      <c r="J82" t="s">
        <v>281</v>
      </c>
      <c r="K82" t="s">
        <v>282</v>
      </c>
      <c r="L82">
        <v>1354</v>
      </c>
      <c r="N82">
        <v>1010</v>
      </c>
      <c r="O82" t="s">
        <v>52</v>
      </c>
      <c r="P82" t="s">
        <v>52</v>
      </c>
      <c r="Q82">
        <v>1</v>
      </c>
      <c r="Y82">
        <v>0.25</v>
      </c>
      <c r="AA82">
        <v>1.88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0.25</v>
      </c>
      <c r="AV82">
        <v>0</v>
      </c>
    </row>
    <row r="83" spans="1:48" ht="12.75">
      <c r="A83">
        <f>ROW(Source!A33)</f>
        <v>33</v>
      </c>
      <c r="B83">
        <v>7696468</v>
      </c>
      <c r="C83">
        <v>7696464</v>
      </c>
      <c r="D83">
        <v>6332204</v>
      </c>
      <c r="E83">
        <v>1</v>
      </c>
      <c r="F83">
        <v>1</v>
      </c>
      <c r="G83">
        <v>1</v>
      </c>
      <c r="H83">
        <v>3</v>
      </c>
      <c r="I83" t="s">
        <v>243</v>
      </c>
      <c r="J83" t="s">
        <v>244</v>
      </c>
      <c r="K83" t="s">
        <v>245</v>
      </c>
      <c r="L83">
        <v>1346</v>
      </c>
      <c r="N83">
        <v>1009</v>
      </c>
      <c r="O83" t="s">
        <v>242</v>
      </c>
      <c r="P83" t="s">
        <v>242</v>
      </c>
      <c r="Q83">
        <v>1</v>
      </c>
      <c r="Y83">
        <v>0.45</v>
      </c>
      <c r="AA83">
        <v>37.18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0.45</v>
      </c>
      <c r="AV83">
        <v>0</v>
      </c>
    </row>
    <row r="84" spans="1:48" ht="12.75">
      <c r="A84">
        <f>ROW(Source!A33)</f>
        <v>33</v>
      </c>
      <c r="B84">
        <v>7696469</v>
      </c>
      <c r="C84">
        <v>7696464</v>
      </c>
      <c r="D84">
        <v>6332310</v>
      </c>
      <c r="E84">
        <v>1</v>
      </c>
      <c r="F84">
        <v>1</v>
      </c>
      <c r="G84">
        <v>1</v>
      </c>
      <c r="H84">
        <v>3</v>
      </c>
      <c r="I84" t="s">
        <v>283</v>
      </c>
      <c r="J84" t="s">
        <v>284</v>
      </c>
      <c r="K84" t="s">
        <v>285</v>
      </c>
      <c r="L84">
        <v>1346</v>
      </c>
      <c r="N84">
        <v>1009</v>
      </c>
      <c r="O84" t="s">
        <v>242</v>
      </c>
      <c r="P84" t="s">
        <v>242</v>
      </c>
      <c r="Q84">
        <v>1</v>
      </c>
      <c r="Y84">
        <v>1</v>
      </c>
      <c r="AA84">
        <v>15.33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</v>
      </c>
      <c r="AV84">
        <v>0</v>
      </c>
    </row>
    <row r="85" spans="1:48" ht="12.75">
      <c r="A85">
        <f>ROW(Source!A34)</f>
        <v>34</v>
      </c>
      <c r="B85">
        <v>7696518</v>
      </c>
      <c r="C85">
        <v>7696517</v>
      </c>
      <c r="D85">
        <v>5603299</v>
      </c>
      <c r="E85">
        <v>1</v>
      </c>
      <c r="F85">
        <v>1</v>
      </c>
      <c r="G85">
        <v>1</v>
      </c>
      <c r="H85">
        <v>1</v>
      </c>
      <c r="I85" t="s">
        <v>286</v>
      </c>
      <c r="K85" t="s">
        <v>287</v>
      </c>
      <c r="L85">
        <v>1476</v>
      </c>
      <c r="N85">
        <v>1013</v>
      </c>
      <c r="O85" t="s">
        <v>203</v>
      </c>
      <c r="P85" t="s">
        <v>204</v>
      </c>
      <c r="Q85">
        <v>1</v>
      </c>
      <c r="Y85">
        <v>1.47</v>
      </c>
      <c r="AA85">
        <v>0</v>
      </c>
      <c r="AB85">
        <v>0</v>
      </c>
      <c r="AC85">
        <v>0</v>
      </c>
      <c r="AD85">
        <v>9.07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1.47</v>
      </c>
      <c r="AV85">
        <v>1</v>
      </c>
    </row>
    <row r="86" spans="1:48" ht="12.75">
      <c r="A86">
        <f>ROW(Source!A34)</f>
        <v>34</v>
      </c>
      <c r="B86">
        <v>7696519</v>
      </c>
      <c r="C86">
        <v>7696517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28</v>
      </c>
      <c r="K86" t="s">
        <v>205</v>
      </c>
      <c r="L86">
        <v>608254</v>
      </c>
      <c r="N86">
        <v>1013</v>
      </c>
      <c r="O86" t="s">
        <v>206</v>
      </c>
      <c r="P86" t="s">
        <v>206</v>
      </c>
      <c r="Q86">
        <v>1</v>
      </c>
      <c r="Y86">
        <v>0.01</v>
      </c>
      <c r="AA86">
        <v>0</v>
      </c>
      <c r="AB86">
        <v>0</v>
      </c>
      <c r="AC86">
        <v>0</v>
      </c>
      <c r="AD86">
        <v>101.33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0.01</v>
      </c>
      <c r="AV86">
        <v>2</v>
      </c>
    </row>
    <row r="87" spans="1:48" ht="12.75">
      <c r="A87">
        <f>ROW(Source!A34)</f>
        <v>34</v>
      </c>
      <c r="B87">
        <v>7696520</v>
      </c>
      <c r="C87">
        <v>7696517</v>
      </c>
      <c r="D87">
        <v>6298559</v>
      </c>
      <c r="E87">
        <v>1</v>
      </c>
      <c r="F87">
        <v>1</v>
      </c>
      <c r="G87">
        <v>1</v>
      </c>
      <c r="H87">
        <v>2</v>
      </c>
      <c r="I87" t="s">
        <v>288</v>
      </c>
      <c r="J87" t="s">
        <v>289</v>
      </c>
      <c r="K87" t="s">
        <v>290</v>
      </c>
      <c r="L87">
        <v>1368</v>
      </c>
      <c r="N87">
        <v>1011</v>
      </c>
      <c r="O87" t="s">
        <v>215</v>
      </c>
      <c r="P87" t="s">
        <v>215</v>
      </c>
      <c r="Q87">
        <v>1</v>
      </c>
      <c r="Y87">
        <v>0.35</v>
      </c>
      <c r="AA87">
        <v>0</v>
      </c>
      <c r="AB87">
        <v>2.94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0.35</v>
      </c>
      <c r="AV87">
        <v>0</v>
      </c>
    </row>
    <row r="88" spans="1:48" ht="12.75">
      <c r="A88">
        <f>ROW(Source!A34)</f>
        <v>34</v>
      </c>
      <c r="B88">
        <v>7696521</v>
      </c>
      <c r="C88">
        <v>7696517</v>
      </c>
      <c r="D88">
        <v>6300745</v>
      </c>
      <c r="E88">
        <v>1</v>
      </c>
      <c r="F88">
        <v>1</v>
      </c>
      <c r="G88">
        <v>1</v>
      </c>
      <c r="H88">
        <v>2</v>
      </c>
      <c r="I88" t="s">
        <v>219</v>
      </c>
      <c r="J88" t="s">
        <v>220</v>
      </c>
      <c r="K88" t="s">
        <v>221</v>
      </c>
      <c r="L88">
        <v>1368</v>
      </c>
      <c r="N88">
        <v>1011</v>
      </c>
      <c r="O88" t="s">
        <v>215</v>
      </c>
      <c r="P88" t="s">
        <v>215</v>
      </c>
      <c r="Q88">
        <v>1</v>
      </c>
      <c r="Y88">
        <v>0.01</v>
      </c>
      <c r="AA88">
        <v>0</v>
      </c>
      <c r="AB88">
        <v>60.77</v>
      </c>
      <c r="AC88">
        <v>11.81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0.01</v>
      </c>
      <c r="AV88">
        <v>0</v>
      </c>
    </row>
    <row r="89" spans="1:48" ht="12.75">
      <c r="A89">
        <f>ROW(Source!A34)</f>
        <v>34</v>
      </c>
      <c r="B89">
        <v>7696522</v>
      </c>
      <c r="C89">
        <v>7696517</v>
      </c>
      <c r="D89">
        <v>6332060</v>
      </c>
      <c r="E89">
        <v>1</v>
      </c>
      <c r="F89">
        <v>1</v>
      </c>
      <c r="G89">
        <v>1</v>
      </c>
      <c r="H89">
        <v>3</v>
      </c>
      <c r="I89" t="s">
        <v>291</v>
      </c>
      <c r="J89" t="s">
        <v>292</v>
      </c>
      <c r="K89" t="s">
        <v>293</v>
      </c>
      <c r="L89">
        <v>1348</v>
      </c>
      <c r="N89">
        <v>1009</v>
      </c>
      <c r="O89" t="s">
        <v>225</v>
      </c>
      <c r="P89" t="s">
        <v>225</v>
      </c>
      <c r="Q89">
        <v>1000</v>
      </c>
      <c r="Y89">
        <v>0.00014</v>
      </c>
      <c r="AA89">
        <v>8975.91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0.00014</v>
      </c>
      <c r="AV89">
        <v>0</v>
      </c>
    </row>
    <row r="90" spans="1:48" ht="12.75">
      <c r="A90">
        <f>ROW(Source!A34)</f>
        <v>34</v>
      </c>
      <c r="B90">
        <v>7696523</v>
      </c>
      <c r="C90">
        <v>7696517</v>
      </c>
      <c r="D90">
        <v>6344847</v>
      </c>
      <c r="E90">
        <v>1</v>
      </c>
      <c r="F90">
        <v>1</v>
      </c>
      <c r="G90">
        <v>1</v>
      </c>
      <c r="H90">
        <v>3</v>
      </c>
      <c r="I90" t="s">
        <v>294</v>
      </c>
      <c r="J90" t="s">
        <v>295</v>
      </c>
      <c r="K90" t="s">
        <v>296</v>
      </c>
      <c r="L90">
        <v>1348</v>
      </c>
      <c r="N90">
        <v>1009</v>
      </c>
      <c r="O90" t="s">
        <v>225</v>
      </c>
      <c r="P90" t="s">
        <v>225</v>
      </c>
      <c r="Q90">
        <v>1000</v>
      </c>
      <c r="Y90">
        <v>0.0011</v>
      </c>
      <c r="AA90">
        <v>33305.73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0.0011</v>
      </c>
      <c r="AV90">
        <v>0</v>
      </c>
    </row>
    <row r="91" spans="1:48" ht="12.75">
      <c r="A91">
        <f>ROW(Source!A34)</f>
        <v>34</v>
      </c>
      <c r="B91">
        <v>7696524</v>
      </c>
      <c r="C91">
        <v>7696517</v>
      </c>
      <c r="D91">
        <v>6346673</v>
      </c>
      <c r="E91">
        <v>1</v>
      </c>
      <c r="F91">
        <v>1</v>
      </c>
      <c r="G91">
        <v>1</v>
      </c>
      <c r="H91">
        <v>3</v>
      </c>
      <c r="I91" t="s">
        <v>297</v>
      </c>
      <c r="J91" t="s">
        <v>298</v>
      </c>
      <c r="K91" t="s">
        <v>299</v>
      </c>
      <c r="L91">
        <v>1354</v>
      </c>
      <c r="N91">
        <v>1010</v>
      </c>
      <c r="O91" t="s">
        <v>52</v>
      </c>
      <c r="P91" t="s">
        <v>52</v>
      </c>
      <c r="Q91">
        <v>1</v>
      </c>
      <c r="Y91">
        <v>1</v>
      </c>
      <c r="AA91">
        <v>0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1</v>
      </c>
      <c r="AV91">
        <v>0</v>
      </c>
    </row>
    <row r="92" spans="1:48" ht="12.75">
      <c r="A92">
        <f>ROW(Source!A34)</f>
        <v>34</v>
      </c>
      <c r="B92">
        <v>7696525</v>
      </c>
      <c r="C92">
        <v>7696517</v>
      </c>
      <c r="D92">
        <v>6349441</v>
      </c>
      <c r="E92">
        <v>1</v>
      </c>
      <c r="F92">
        <v>1</v>
      </c>
      <c r="G92">
        <v>1</v>
      </c>
      <c r="H92">
        <v>3</v>
      </c>
      <c r="I92" t="s">
        <v>300</v>
      </c>
      <c r="J92" t="s">
        <v>301</v>
      </c>
      <c r="K92" t="s">
        <v>302</v>
      </c>
      <c r="L92">
        <v>1354</v>
      </c>
      <c r="N92">
        <v>1010</v>
      </c>
      <c r="O92" t="s">
        <v>52</v>
      </c>
      <c r="P92" t="s">
        <v>52</v>
      </c>
      <c r="Q92">
        <v>1</v>
      </c>
      <c r="Y92">
        <v>2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2</v>
      </c>
      <c r="AV92">
        <v>0</v>
      </c>
    </row>
    <row r="93" spans="1:48" ht="12.75">
      <c r="A93">
        <f>ROW(Source!A34)</f>
        <v>34</v>
      </c>
      <c r="B93">
        <v>7696526</v>
      </c>
      <c r="C93">
        <v>7696517</v>
      </c>
      <c r="D93">
        <v>6365446</v>
      </c>
      <c r="E93">
        <v>1</v>
      </c>
      <c r="F93">
        <v>1</v>
      </c>
      <c r="G93">
        <v>1</v>
      </c>
      <c r="H93">
        <v>3</v>
      </c>
      <c r="I93" t="s">
        <v>303</v>
      </c>
      <c r="J93" t="s">
        <v>304</v>
      </c>
      <c r="K93" t="s">
        <v>305</v>
      </c>
      <c r="L93">
        <v>1356</v>
      </c>
      <c r="N93">
        <v>1010</v>
      </c>
      <c r="O93" t="s">
        <v>306</v>
      </c>
      <c r="P93" t="s">
        <v>306</v>
      </c>
      <c r="Q93">
        <v>1000</v>
      </c>
      <c r="Y93">
        <v>0.002</v>
      </c>
      <c r="AA93">
        <v>3422.98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0.002</v>
      </c>
      <c r="AV93">
        <v>0</v>
      </c>
    </row>
    <row r="94" spans="1:48" ht="12.75">
      <c r="A94">
        <f>ROW(Source!A34)</f>
        <v>34</v>
      </c>
      <c r="B94">
        <v>7696527</v>
      </c>
      <c r="C94">
        <v>7696517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55</v>
      </c>
      <c r="K94" t="s">
        <v>56</v>
      </c>
      <c r="L94">
        <v>1371</v>
      </c>
      <c r="N94">
        <v>1013</v>
      </c>
      <c r="O94" t="s">
        <v>57</v>
      </c>
      <c r="P94" t="s">
        <v>57</v>
      </c>
      <c r="Q94">
        <v>1</v>
      </c>
      <c r="Y94">
        <v>0.4</v>
      </c>
      <c r="AA94">
        <v>17</v>
      </c>
      <c r="AB94">
        <v>0</v>
      </c>
      <c r="AC94">
        <v>0</v>
      </c>
      <c r="AD94">
        <v>0</v>
      </c>
      <c r="AN94">
        <v>0</v>
      </c>
      <c r="AO94">
        <v>0</v>
      </c>
      <c r="AP94">
        <v>2</v>
      </c>
      <c r="AQ94">
        <v>0</v>
      </c>
      <c r="AR94">
        <v>0</v>
      </c>
      <c r="AT94">
        <v>0.4</v>
      </c>
      <c r="AV94">
        <v>0</v>
      </c>
    </row>
    <row r="95" spans="1:48" ht="12.75">
      <c r="A95">
        <f>ROW(Source!A34)</f>
        <v>34</v>
      </c>
      <c r="B95">
        <v>7696534</v>
      </c>
      <c r="C95">
        <v>7696517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62</v>
      </c>
      <c r="K95" t="s">
        <v>63</v>
      </c>
      <c r="L95">
        <v>1371</v>
      </c>
      <c r="N95">
        <v>1013</v>
      </c>
      <c r="O95" t="s">
        <v>57</v>
      </c>
      <c r="P95" t="s">
        <v>57</v>
      </c>
      <c r="Q95">
        <v>1</v>
      </c>
      <c r="Y95">
        <v>9.6</v>
      </c>
      <c r="AA95">
        <v>14.17</v>
      </c>
      <c r="AB95">
        <v>0</v>
      </c>
      <c r="AC95">
        <v>0</v>
      </c>
      <c r="AD95">
        <v>0</v>
      </c>
      <c r="AN95">
        <v>0</v>
      </c>
      <c r="AO95">
        <v>0</v>
      </c>
      <c r="AP95">
        <v>2</v>
      </c>
      <c r="AQ95">
        <v>0</v>
      </c>
      <c r="AR95">
        <v>0</v>
      </c>
      <c r="AT95">
        <v>9.6</v>
      </c>
      <c r="AV95">
        <v>0</v>
      </c>
    </row>
    <row r="96" spans="1:48" ht="12.75">
      <c r="A96">
        <f>ROW(Source!A34)</f>
        <v>34</v>
      </c>
      <c r="B96">
        <v>7696531</v>
      </c>
      <c r="C96">
        <v>7696517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59</v>
      </c>
      <c r="K96" t="s">
        <v>60</v>
      </c>
      <c r="L96">
        <v>1371</v>
      </c>
      <c r="N96">
        <v>1013</v>
      </c>
      <c r="O96" t="s">
        <v>57</v>
      </c>
      <c r="P96" t="s">
        <v>57</v>
      </c>
      <c r="Q96">
        <v>1</v>
      </c>
      <c r="Y96">
        <v>0.6</v>
      </c>
      <c r="AA96">
        <v>53.85</v>
      </c>
      <c r="AB96">
        <v>0</v>
      </c>
      <c r="AC96">
        <v>0</v>
      </c>
      <c r="AD96">
        <v>0</v>
      </c>
      <c r="AN96">
        <v>0</v>
      </c>
      <c r="AO96">
        <v>0</v>
      </c>
      <c r="AP96">
        <v>2</v>
      </c>
      <c r="AQ96">
        <v>0</v>
      </c>
      <c r="AR96">
        <v>0</v>
      </c>
      <c r="AT96">
        <v>0.6</v>
      </c>
      <c r="AV96">
        <v>0</v>
      </c>
    </row>
    <row r="97" spans="1:48" ht="12.75">
      <c r="A97">
        <f>ROW(Source!A38)</f>
        <v>38</v>
      </c>
      <c r="B97">
        <v>7696537</v>
      </c>
      <c r="C97">
        <v>7696536</v>
      </c>
      <c r="D97">
        <v>5608703</v>
      </c>
      <c r="E97">
        <v>1</v>
      </c>
      <c r="F97">
        <v>1</v>
      </c>
      <c r="G97">
        <v>1</v>
      </c>
      <c r="H97">
        <v>1</v>
      </c>
      <c r="I97" t="s">
        <v>201</v>
      </c>
      <c r="K97" t="s">
        <v>202</v>
      </c>
      <c r="L97">
        <v>1476</v>
      </c>
      <c r="N97">
        <v>1013</v>
      </c>
      <c r="O97" t="s">
        <v>203</v>
      </c>
      <c r="P97" t="s">
        <v>204</v>
      </c>
      <c r="Q97">
        <v>1</v>
      </c>
      <c r="Y97">
        <v>39.16</v>
      </c>
      <c r="AA97">
        <v>0</v>
      </c>
      <c r="AB97">
        <v>0</v>
      </c>
      <c r="AC97">
        <v>0</v>
      </c>
      <c r="AD97">
        <v>9.61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39.16</v>
      </c>
      <c r="AV97">
        <v>1</v>
      </c>
    </row>
    <row r="98" spans="1:48" ht="12.75">
      <c r="A98">
        <f>ROW(Source!A38)</f>
        <v>38</v>
      </c>
      <c r="B98">
        <v>7696538</v>
      </c>
      <c r="C98">
        <v>7696536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28</v>
      </c>
      <c r="K98" t="s">
        <v>205</v>
      </c>
      <c r="L98">
        <v>608254</v>
      </c>
      <c r="N98">
        <v>1013</v>
      </c>
      <c r="O98" t="s">
        <v>206</v>
      </c>
      <c r="P98" t="s">
        <v>206</v>
      </c>
      <c r="Q98">
        <v>1</v>
      </c>
      <c r="Y98">
        <v>1.06</v>
      </c>
      <c r="AA98">
        <v>0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1.06</v>
      </c>
      <c r="AV98">
        <v>2</v>
      </c>
    </row>
    <row r="99" spans="1:48" ht="12.75">
      <c r="A99">
        <f>ROW(Source!A38)</f>
        <v>38</v>
      </c>
      <c r="B99">
        <v>7696539</v>
      </c>
      <c r="C99">
        <v>7696536</v>
      </c>
      <c r="D99">
        <v>6298374</v>
      </c>
      <c r="E99">
        <v>1</v>
      </c>
      <c r="F99">
        <v>1</v>
      </c>
      <c r="G99">
        <v>1</v>
      </c>
      <c r="H99">
        <v>2</v>
      </c>
      <c r="I99" t="s">
        <v>207</v>
      </c>
      <c r="J99" t="s">
        <v>208</v>
      </c>
      <c r="K99" t="s">
        <v>209</v>
      </c>
      <c r="L99">
        <v>1480</v>
      </c>
      <c r="N99">
        <v>1013</v>
      </c>
      <c r="O99" t="s">
        <v>210</v>
      </c>
      <c r="P99" t="s">
        <v>211</v>
      </c>
      <c r="Q99">
        <v>1</v>
      </c>
      <c r="Y99">
        <v>0.12</v>
      </c>
      <c r="AA99">
        <v>0</v>
      </c>
      <c r="AB99">
        <v>118.84</v>
      </c>
      <c r="AC99">
        <v>11.81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0.12</v>
      </c>
      <c r="AV99">
        <v>0</v>
      </c>
    </row>
    <row r="100" spans="1:48" ht="12.75">
      <c r="A100">
        <f>ROW(Source!A38)</f>
        <v>38</v>
      </c>
      <c r="B100">
        <v>7696540</v>
      </c>
      <c r="C100">
        <v>7696536</v>
      </c>
      <c r="D100">
        <v>6298458</v>
      </c>
      <c r="E100">
        <v>1</v>
      </c>
      <c r="F100">
        <v>1</v>
      </c>
      <c r="G100">
        <v>1</v>
      </c>
      <c r="H100">
        <v>2</v>
      </c>
      <c r="I100" t="s">
        <v>212</v>
      </c>
      <c r="J100" t="s">
        <v>213</v>
      </c>
      <c r="K100" t="s">
        <v>214</v>
      </c>
      <c r="L100">
        <v>1368</v>
      </c>
      <c r="N100">
        <v>1011</v>
      </c>
      <c r="O100" t="s">
        <v>215</v>
      </c>
      <c r="P100" t="s">
        <v>215</v>
      </c>
      <c r="Q100">
        <v>1</v>
      </c>
      <c r="Y100">
        <v>0.07</v>
      </c>
      <c r="AA100">
        <v>0</v>
      </c>
      <c r="AB100">
        <v>123.73</v>
      </c>
      <c r="AC100">
        <v>11.81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0.07</v>
      </c>
      <c r="AV100">
        <v>0</v>
      </c>
    </row>
    <row r="101" spans="1:48" ht="12.75">
      <c r="A101">
        <f>ROW(Source!A38)</f>
        <v>38</v>
      </c>
      <c r="B101">
        <v>7696541</v>
      </c>
      <c r="C101">
        <v>7696536</v>
      </c>
      <c r="D101">
        <v>6298561</v>
      </c>
      <c r="E101">
        <v>1</v>
      </c>
      <c r="F101">
        <v>1</v>
      </c>
      <c r="G101">
        <v>1</v>
      </c>
      <c r="H101">
        <v>2</v>
      </c>
      <c r="I101" t="s">
        <v>216</v>
      </c>
      <c r="J101" t="s">
        <v>217</v>
      </c>
      <c r="K101" t="s">
        <v>218</v>
      </c>
      <c r="L101">
        <v>1368</v>
      </c>
      <c r="N101">
        <v>1011</v>
      </c>
      <c r="O101" t="s">
        <v>215</v>
      </c>
      <c r="P101" t="s">
        <v>215</v>
      </c>
      <c r="Q101">
        <v>1</v>
      </c>
      <c r="Y101">
        <v>10.21</v>
      </c>
      <c r="AA101">
        <v>0</v>
      </c>
      <c r="AB101">
        <v>0.86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10.21</v>
      </c>
      <c r="AV101">
        <v>0</v>
      </c>
    </row>
    <row r="102" spans="1:48" ht="12.75">
      <c r="A102">
        <f>ROW(Source!A38)</f>
        <v>38</v>
      </c>
      <c r="B102">
        <v>7696542</v>
      </c>
      <c r="C102">
        <v>7696536</v>
      </c>
      <c r="D102">
        <v>6300745</v>
      </c>
      <c r="E102">
        <v>1</v>
      </c>
      <c r="F102">
        <v>1</v>
      </c>
      <c r="G102">
        <v>1</v>
      </c>
      <c r="H102">
        <v>2</v>
      </c>
      <c r="I102" t="s">
        <v>219</v>
      </c>
      <c r="J102" t="s">
        <v>220</v>
      </c>
      <c r="K102" t="s">
        <v>221</v>
      </c>
      <c r="L102">
        <v>1368</v>
      </c>
      <c r="N102">
        <v>1011</v>
      </c>
      <c r="O102" t="s">
        <v>215</v>
      </c>
      <c r="P102" t="s">
        <v>215</v>
      </c>
      <c r="Q102">
        <v>1</v>
      </c>
      <c r="Y102">
        <v>0.87</v>
      </c>
      <c r="AA102">
        <v>0</v>
      </c>
      <c r="AB102">
        <v>60.77</v>
      </c>
      <c r="AC102">
        <v>11.81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0.87</v>
      </c>
      <c r="AV102">
        <v>0</v>
      </c>
    </row>
    <row r="103" spans="1:48" ht="12.75">
      <c r="A103">
        <f>ROW(Source!A38)</f>
        <v>38</v>
      </c>
      <c r="B103">
        <v>7696543</v>
      </c>
      <c r="C103">
        <v>7696536</v>
      </c>
      <c r="D103">
        <v>6330593</v>
      </c>
      <c r="E103">
        <v>1</v>
      </c>
      <c r="F103">
        <v>1</v>
      </c>
      <c r="G103">
        <v>1</v>
      </c>
      <c r="H103">
        <v>3</v>
      </c>
      <c r="I103" t="s">
        <v>222</v>
      </c>
      <c r="J103" t="s">
        <v>223</v>
      </c>
      <c r="K103" t="s">
        <v>224</v>
      </c>
      <c r="L103">
        <v>1348</v>
      </c>
      <c r="N103">
        <v>1009</v>
      </c>
      <c r="O103" t="s">
        <v>225</v>
      </c>
      <c r="P103" t="s">
        <v>225</v>
      </c>
      <c r="Q103">
        <v>1000</v>
      </c>
      <c r="Y103">
        <v>0.00044</v>
      </c>
      <c r="AA103">
        <v>36736.06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0.00044</v>
      </c>
      <c r="AV103">
        <v>0</v>
      </c>
    </row>
    <row r="104" spans="1:48" ht="12.75">
      <c r="A104">
        <f>ROW(Source!A38)</f>
        <v>38</v>
      </c>
      <c r="B104">
        <v>7696544</v>
      </c>
      <c r="C104">
        <v>7696536</v>
      </c>
      <c r="D104">
        <v>6330860</v>
      </c>
      <c r="E104">
        <v>1</v>
      </c>
      <c r="F104">
        <v>1</v>
      </c>
      <c r="G104">
        <v>1</v>
      </c>
      <c r="H104">
        <v>3</v>
      </c>
      <c r="I104" t="s">
        <v>226</v>
      </c>
      <c r="J104" t="s">
        <v>227</v>
      </c>
      <c r="K104" t="s">
        <v>228</v>
      </c>
      <c r="L104">
        <v>1339</v>
      </c>
      <c r="N104">
        <v>1007</v>
      </c>
      <c r="O104" t="s">
        <v>229</v>
      </c>
      <c r="P104" t="s">
        <v>229</v>
      </c>
      <c r="Q104">
        <v>1</v>
      </c>
      <c r="Y104">
        <v>0.44</v>
      </c>
      <c r="AA104">
        <v>8.21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0.44</v>
      </c>
      <c r="AV104">
        <v>0</v>
      </c>
    </row>
    <row r="105" spans="1:48" ht="12.75">
      <c r="A105">
        <f>ROW(Source!A38)</f>
        <v>38</v>
      </c>
      <c r="B105">
        <v>7696545</v>
      </c>
      <c r="C105">
        <v>7696536</v>
      </c>
      <c r="D105">
        <v>6330924</v>
      </c>
      <c r="E105">
        <v>1</v>
      </c>
      <c r="F105">
        <v>1</v>
      </c>
      <c r="G105">
        <v>1</v>
      </c>
      <c r="H105">
        <v>3</v>
      </c>
      <c r="I105" t="s">
        <v>230</v>
      </c>
      <c r="J105" t="s">
        <v>231</v>
      </c>
      <c r="K105" t="s">
        <v>232</v>
      </c>
      <c r="L105">
        <v>1348</v>
      </c>
      <c r="N105">
        <v>1009</v>
      </c>
      <c r="O105" t="s">
        <v>225</v>
      </c>
      <c r="P105" t="s">
        <v>225</v>
      </c>
      <c r="Q105">
        <v>1000</v>
      </c>
      <c r="Y105">
        <v>0.00055</v>
      </c>
      <c r="AA105">
        <v>13884.14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0.00055</v>
      </c>
      <c r="AV105">
        <v>0</v>
      </c>
    </row>
    <row r="106" spans="1:48" ht="12.75">
      <c r="A106">
        <f>ROW(Source!A38)</f>
        <v>38</v>
      </c>
      <c r="B106">
        <v>7696546</v>
      </c>
      <c r="C106">
        <v>7696536</v>
      </c>
      <c r="D106">
        <v>6331164</v>
      </c>
      <c r="E106">
        <v>1</v>
      </c>
      <c r="F106">
        <v>1</v>
      </c>
      <c r="G106">
        <v>1</v>
      </c>
      <c r="H106">
        <v>3</v>
      </c>
      <c r="I106" t="s">
        <v>233</v>
      </c>
      <c r="J106" t="s">
        <v>234</v>
      </c>
      <c r="K106" t="s">
        <v>235</v>
      </c>
      <c r="L106">
        <v>1348</v>
      </c>
      <c r="N106">
        <v>1009</v>
      </c>
      <c r="O106" t="s">
        <v>225</v>
      </c>
      <c r="P106" t="s">
        <v>225</v>
      </c>
      <c r="Q106">
        <v>1000</v>
      </c>
      <c r="Y106">
        <v>0.00062</v>
      </c>
      <c r="AA106">
        <v>22015.32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0.00062</v>
      </c>
      <c r="AV106">
        <v>0</v>
      </c>
    </row>
    <row r="107" spans="1:48" ht="12.75">
      <c r="A107">
        <f>ROW(Source!A38)</f>
        <v>38</v>
      </c>
      <c r="B107">
        <v>7696547</v>
      </c>
      <c r="C107">
        <v>7696536</v>
      </c>
      <c r="D107">
        <v>6331344</v>
      </c>
      <c r="E107">
        <v>1</v>
      </c>
      <c r="F107">
        <v>1</v>
      </c>
      <c r="G107">
        <v>1</v>
      </c>
      <c r="H107">
        <v>3</v>
      </c>
      <c r="I107" t="s">
        <v>236</v>
      </c>
      <c r="J107" t="s">
        <v>237</v>
      </c>
      <c r="K107" t="s">
        <v>238</v>
      </c>
      <c r="L107">
        <v>1348</v>
      </c>
      <c r="N107">
        <v>1009</v>
      </c>
      <c r="O107" t="s">
        <v>225</v>
      </c>
      <c r="P107" t="s">
        <v>225</v>
      </c>
      <c r="Q107">
        <v>1000</v>
      </c>
      <c r="Y107">
        <v>0.0026</v>
      </c>
      <c r="AA107">
        <v>14752.49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0.0026</v>
      </c>
      <c r="AV107">
        <v>0</v>
      </c>
    </row>
    <row r="108" spans="1:48" ht="12.75">
      <c r="A108">
        <f>ROW(Source!A38)</f>
        <v>38</v>
      </c>
      <c r="B108">
        <v>7696548</v>
      </c>
      <c r="C108">
        <v>7696536</v>
      </c>
      <c r="D108">
        <v>6332139</v>
      </c>
      <c r="E108">
        <v>1</v>
      </c>
      <c r="F108">
        <v>1</v>
      </c>
      <c r="G108">
        <v>1</v>
      </c>
      <c r="H108">
        <v>3</v>
      </c>
      <c r="I108" t="s">
        <v>239</v>
      </c>
      <c r="J108" t="s">
        <v>240</v>
      </c>
      <c r="K108" t="s">
        <v>241</v>
      </c>
      <c r="L108">
        <v>1346</v>
      </c>
      <c r="N108">
        <v>1009</v>
      </c>
      <c r="O108" t="s">
        <v>242</v>
      </c>
      <c r="P108" t="s">
        <v>242</v>
      </c>
      <c r="Q108">
        <v>1</v>
      </c>
      <c r="Y108">
        <v>0.0099</v>
      </c>
      <c r="AA108">
        <v>2.7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0.0099</v>
      </c>
      <c r="AV108">
        <v>0</v>
      </c>
    </row>
    <row r="109" spans="1:48" ht="12.75">
      <c r="A109">
        <f>ROW(Source!A38)</f>
        <v>38</v>
      </c>
      <c r="B109">
        <v>7696549</v>
      </c>
      <c r="C109">
        <v>7696536</v>
      </c>
      <c r="D109">
        <v>6332204</v>
      </c>
      <c r="E109">
        <v>1</v>
      </c>
      <c r="F109">
        <v>1</v>
      </c>
      <c r="G109">
        <v>1</v>
      </c>
      <c r="H109">
        <v>3</v>
      </c>
      <c r="I109" t="s">
        <v>243</v>
      </c>
      <c r="J109" t="s">
        <v>244</v>
      </c>
      <c r="K109" t="s">
        <v>245</v>
      </c>
      <c r="L109">
        <v>1346</v>
      </c>
      <c r="N109">
        <v>1009</v>
      </c>
      <c r="O109" t="s">
        <v>242</v>
      </c>
      <c r="P109" t="s">
        <v>242</v>
      </c>
      <c r="Q109">
        <v>1</v>
      </c>
      <c r="Y109">
        <v>0.03</v>
      </c>
      <c r="AA109">
        <v>37.18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0.03</v>
      </c>
      <c r="AV109">
        <v>0</v>
      </c>
    </row>
    <row r="110" spans="1:48" ht="12.75">
      <c r="A110">
        <f>ROW(Source!A38)</f>
        <v>38</v>
      </c>
      <c r="B110">
        <v>7696550</v>
      </c>
      <c r="C110">
        <v>7696536</v>
      </c>
      <c r="D110">
        <v>6335903</v>
      </c>
      <c r="E110">
        <v>1</v>
      </c>
      <c r="F110">
        <v>1</v>
      </c>
      <c r="G110">
        <v>1</v>
      </c>
      <c r="H110">
        <v>3</v>
      </c>
      <c r="I110" t="s">
        <v>246</v>
      </c>
      <c r="J110" t="s">
        <v>247</v>
      </c>
      <c r="K110" t="s">
        <v>248</v>
      </c>
      <c r="L110">
        <v>1354</v>
      </c>
      <c r="N110">
        <v>1010</v>
      </c>
      <c r="O110" t="s">
        <v>52</v>
      </c>
      <c r="P110" t="s">
        <v>52</v>
      </c>
      <c r="Q110">
        <v>1</v>
      </c>
      <c r="Y110">
        <v>0</v>
      </c>
      <c r="AA110">
        <v>0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</v>
      </c>
      <c r="AV110">
        <v>0</v>
      </c>
    </row>
    <row r="111" spans="1:48" ht="12.75">
      <c r="A111">
        <f>ROW(Source!A38)</f>
        <v>38</v>
      </c>
      <c r="B111">
        <v>7696551</v>
      </c>
      <c r="C111">
        <v>7696536</v>
      </c>
      <c r="D111">
        <v>6345972</v>
      </c>
      <c r="E111">
        <v>1</v>
      </c>
      <c r="F111">
        <v>1</v>
      </c>
      <c r="G111">
        <v>1</v>
      </c>
      <c r="H111">
        <v>3</v>
      </c>
      <c r="I111" t="s">
        <v>249</v>
      </c>
      <c r="J111" t="s">
        <v>250</v>
      </c>
      <c r="K111" t="s">
        <v>63</v>
      </c>
      <c r="L111">
        <v>1346</v>
      </c>
      <c r="N111">
        <v>1009</v>
      </c>
      <c r="O111" t="s">
        <v>242</v>
      </c>
      <c r="P111" t="s">
        <v>242</v>
      </c>
      <c r="Q111">
        <v>1</v>
      </c>
      <c r="Y111">
        <v>0</v>
      </c>
      <c r="AA111">
        <v>14.17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</v>
      </c>
      <c r="AV111">
        <v>0</v>
      </c>
    </row>
    <row r="112" spans="1:48" ht="12.75">
      <c r="A112">
        <f>ROW(Source!A38)</f>
        <v>38</v>
      </c>
      <c r="B112">
        <v>7696552</v>
      </c>
      <c r="C112">
        <v>7696536</v>
      </c>
      <c r="D112">
        <v>6346065</v>
      </c>
      <c r="E112">
        <v>1</v>
      </c>
      <c r="F112">
        <v>1</v>
      </c>
      <c r="G112">
        <v>1</v>
      </c>
      <c r="H112">
        <v>3</v>
      </c>
      <c r="I112" t="s">
        <v>307</v>
      </c>
      <c r="J112" t="s">
        <v>308</v>
      </c>
      <c r="K112" t="s">
        <v>309</v>
      </c>
      <c r="L112">
        <v>1301</v>
      </c>
      <c r="N112">
        <v>1003</v>
      </c>
      <c r="O112" t="s">
        <v>254</v>
      </c>
      <c r="P112" t="s">
        <v>254</v>
      </c>
      <c r="Q112">
        <v>1</v>
      </c>
      <c r="Y112">
        <v>100</v>
      </c>
      <c r="AA112">
        <v>58.41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100</v>
      </c>
      <c r="AV112">
        <v>0</v>
      </c>
    </row>
    <row r="113" spans="1:48" ht="12.75">
      <c r="A113">
        <f>ROW(Source!A38)</f>
        <v>38</v>
      </c>
      <c r="B113">
        <v>7696553</v>
      </c>
      <c r="C113">
        <v>7696536</v>
      </c>
      <c r="D113">
        <v>6352624</v>
      </c>
      <c r="E113">
        <v>1</v>
      </c>
      <c r="F113">
        <v>1</v>
      </c>
      <c r="G113">
        <v>1</v>
      </c>
      <c r="H113">
        <v>3</v>
      </c>
      <c r="I113" t="s">
        <v>255</v>
      </c>
      <c r="J113" t="s">
        <v>256</v>
      </c>
      <c r="K113" t="s">
        <v>257</v>
      </c>
      <c r="L113">
        <v>1339</v>
      </c>
      <c r="N113">
        <v>1007</v>
      </c>
      <c r="O113" t="s">
        <v>229</v>
      </c>
      <c r="P113" t="s">
        <v>229</v>
      </c>
      <c r="Q113">
        <v>1</v>
      </c>
      <c r="Y113">
        <v>2.75</v>
      </c>
      <c r="AA113">
        <v>3.2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2.75</v>
      </c>
      <c r="AV113">
        <v>0</v>
      </c>
    </row>
    <row r="114" spans="1:48" ht="12.75">
      <c r="A114">
        <f>ROW(Source!A39)</f>
        <v>39</v>
      </c>
      <c r="B114">
        <v>7696556</v>
      </c>
      <c r="C114">
        <v>7696554</v>
      </c>
      <c r="D114">
        <v>5610028</v>
      </c>
      <c r="E114">
        <v>1</v>
      </c>
      <c r="F114">
        <v>1</v>
      </c>
      <c r="G114">
        <v>1</v>
      </c>
      <c r="H114">
        <v>1</v>
      </c>
      <c r="I114" t="s">
        <v>310</v>
      </c>
      <c r="K114" t="s">
        <v>311</v>
      </c>
      <c r="L114">
        <v>1476</v>
      </c>
      <c r="N114">
        <v>1013</v>
      </c>
      <c r="O114" t="s">
        <v>203</v>
      </c>
      <c r="P114" t="s">
        <v>204</v>
      </c>
      <c r="Q114">
        <v>1</v>
      </c>
      <c r="Y114">
        <v>76.59</v>
      </c>
      <c r="AA114">
        <v>0</v>
      </c>
      <c r="AB114">
        <v>0</v>
      </c>
      <c r="AC114">
        <v>0</v>
      </c>
      <c r="AD114">
        <v>9.17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76.59</v>
      </c>
      <c r="AV114">
        <v>1</v>
      </c>
    </row>
    <row r="115" spans="1:48" ht="12.75">
      <c r="A115">
        <f>ROW(Source!A39)</f>
        <v>39</v>
      </c>
      <c r="B115">
        <v>7696557</v>
      </c>
      <c r="C115">
        <v>7696554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28</v>
      </c>
      <c r="K115" t="s">
        <v>205</v>
      </c>
      <c r="L115">
        <v>608254</v>
      </c>
      <c r="N115">
        <v>1013</v>
      </c>
      <c r="O115" t="s">
        <v>206</v>
      </c>
      <c r="P115" t="s">
        <v>206</v>
      </c>
      <c r="Q115">
        <v>1</v>
      </c>
      <c r="Y115">
        <v>2.18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2.18</v>
      </c>
      <c r="AV115">
        <v>2</v>
      </c>
    </row>
    <row r="116" spans="1:48" ht="12.75">
      <c r="A116">
        <f>ROW(Source!A39)</f>
        <v>39</v>
      </c>
      <c r="B116">
        <v>7696558</v>
      </c>
      <c r="C116">
        <v>7696554</v>
      </c>
      <c r="D116">
        <v>6298374</v>
      </c>
      <c r="E116">
        <v>1</v>
      </c>
      <c r="F116">
        <v>1</v>
      </c>
      <c r="G116">
        <v>1</v>
      </c>
      <c r="H116">
        <v>2</v>
      </c>
      <c r="I116" t="s">
        <v>207</v>
      </c>
      <c r="J116" t="s">
        <v>208</v>
      </c>
      <c r="K116" t="s">
        <v>209</v>
      </c>
      <c r="L116">
        <v>1480</v>
      </c>
      <c r="N116">
        <v>1013</v>
      </c>
      <c r="O116" t="s">
        <v>210</v>
      </c>
      <c r="P116" t="s">
        <v>211</v>
      </c>
      <c r="Q116">
        <v>1</v>
      </c>
      <c r="Y116">
        <v>0.38</v>
      </c>
      <c r="AA116">
        <v>0</v>
      </c>
      <c r="AB116">
        <v>118.84</v>
      </c>
      <c r="AC116">
        <v>11.81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0.38</v>
      </c>
      <c r="AV116">
        <v>0</v>
      </c>
    </row>
    <row r="117" spans="1:48" ht="12.75">
      <c r="A117">
        <f>ROW(Source!A39)</f>
        <v>39</v>
      </c>
      <c r="B117">
        <v>7696559</v>
      </c>
      <c r="C117">
        <v>7696554</v>
      </c>
      <c r="D117">
        <v>6298458</v>
      </c>
      <c r="E117">
        <v>1</v>
      </c>
      <c r="F117">
        <v>1</v>
      </c>
      <c r="G117">
        <v>1</v>
      </c>
      <c r="H117">
        <v>2</v>
      </c>
      <c r="I117" t="s">
        <v>212</v>
      </c>
      <c r="J117" t="s">
        <v>213</v>
      </c>
      <c r="K117" t="s">
        <v>214</v>
      </c>
      <c r="L117">
        <v>1368</v>
      </c>
      <c r="N117">
        <v>1011</v>
      </c>
      <c r="O117" t="s">
        <v>215</v>
      </c>
      <c r="P117" t="s">
        <v>215</v>
      </c>
      <c r="Q117">
        <v>1</v>
      </c>
      <c r="Y117">
        <v>0.11</v>
      </c>
      <c r="AA117">
        <v>0</v>
      </c>
      <c r="AB117">
        <v>123.73</v>
      </c>
      <c r="AC117">
        <v>11.81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0.11</v>
      </c>
      <c r="AV117">
        <v>0</v>
      </c>
    </row>
    <row r="118" spans="1:48" ht="12.75">
      <c r="A118">
        <f>ROW(Source!A39)</f>
        <v>39</v>
      </c>
      <c r="B118">
        <v>7696560</v>
      </c>
      <c r="C118">
        <v>7696554</v>
      </c>
      <c r="D118">
        <v>6298561</v>
      </c>
      <c r="E118">
        <v>1</v>
      </c>
      <c r="F118">
        <v>1</v>
      </c>
      <c r="G118">
        <v>1</v>
      </c>
      <c r="H118">
        <v>2</v>
      </c>
      <c r="I118" t="s">
        <v>216</v>
      </c>
      <c r="J118" t="s">
        <v>217</v>
      </c>
      <c r="K118" t="s">
        <v>218</v>
      </c>
      <c r="L118">
        <v>1368</v>
      </c>
      <c r="N118">
        <v>1011</v>
      </c>
      <c r="O118" t="s">
        <v>215</v>
      </c>
      <c r="P118" t="s">
        <v>215</v>
      </c>
      <c r="Q118">
        <v>1</v>
      </c>
      <c r="Y118">
        <v>5.86</v>
      </c>
      <c r="AA118">
        <v>0</v>
      </c>
      <c r="AB118">
        <v>0.86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5.86</v>
      </c>
      <c r="AV118">
        <v>0</v>
      </c>
    </row>
    <row r="119" spans="1:48" ht="12.75">
      <c r="A119">
        <f>ROW(Source!A39)</f>
        <v>39</v>
      </c>
      <c r="B119">
        <v>7696561</v>
      </c>
      <c r="C119">
        <v>7696554</v>
      </c>
      <c r="D119">
        <v>6300745</v>
      </c>
      <c r="E119">
        <v>1</v>
      </c>
      <c r="F119">
        <v>1</v>
      </c>
      <c r="G119">
        <v>1</v>
      </c>
      <c r="H119">
        <v>2</v>
      </c>
      <c r="I119" t="s">
        <v>219</v>
      </c>
      <c r="J119" t="s">
        <v>220</v>
      </c>
      <c r="K119" t="s">
        <v>221</v>
      </c>
      <c r="L119">
        <v>1368</v>
      </c>
      <c r="N119">
        <v>1011</v>
      </c>
      <c r="O119" t="s">
        <v>215</v>
      </c>
      <c r="P119" t="s">
        <v>215</v>
      </c>
      <c r="Q119">
        <v>1</v>
      </c>
      <c r="Y119">
        <v>1.69</v>
      </c>
      <c r="AA119">
        <v>0</v>
      </c>
      <c r="AB119">
        <v>60.77</v>
      </c>
      <c r="AC119">
        <v>11.81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1.69</v>
      </c>
      <c r="AV119">
        <v>0</v>
      </c>
    </row>
    <row r="120" spans="1:48" ht="12.75">
      <c r="A120">
        <f>ROW(Source!A39)</f>
        <v>39</v>
      </c>
      <c r="B120">
        <v>7696562</v>
      </c>
      <c r="C120">
        <v>7696554</v>
      </c>
      <c r="D120">
        <v>6330593</v>
      </c>
      <c r="E120">
        <v>1</v>
      </c>
      <c r="F120">
        <v>1</v>
      </c>
      <c r="G120">
        <v>1</v>
      </c>
      <c r="H120">
        <v>3</v>
      </c>
      <c r="I120" t="s">
        <v>222</v>
      </c>
      <c r="J120" t="s">
        <v>223</v>
      </c>
      <c r="K120" t="s">
        <v>224</v>
      </c>
      <c r="L120">
        <v>1348</v>
      </c>
      <c r="N120">
        <v>1009</v>
      </c>
      <c r="O120" t="s">
        <v>225</v>
      </c>
      <c r="P120" t="s">
        <v>225</v>
      </c>
      <c r="Q120">
        <v>1000</v>
      </c>
      <c r="Y120">
        <v>0.00228</v>
      </c>
      <c r="AA120">
        <v>36736.06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0.00228</v>
      </c>
      <c r="AV120">
        <v>0</v>
      </c>
    </row>
    <row r="121" spans="1:48" ht="12.75">
      <c r="A121">
        <f>ROW(Source!A39)</f>
        <v>39</v>
      </c>
      <c r="B121">
        <v>7696563</v>
      </c>
      <c r="C121">
        <v>7696554</v>
      </c>
      <c r="D121">
        <v>6330860</v>
      </c>
      <c r="E121">
        <v>1</v>
      </c>
      <c r="F121">
        <v>1</v>
      </c>
      <c r="G121">
        <v>1</v>
      </c>
      <c r="H121">
        <v>3</v>
      </c>
      <c r="I121" t="s">
        <v>226</v>
      </c>
      <c r="J121" t="s">
        <v>227</v>
      </c>
      <c r="K121" t="s">
        <v>228</v>
      </c>
      <c r="L121">
        <v>1339</v>
      </c>
      <c r="N121">
        <v>1007</v>
      </c>
      <c r="O121" t="s">
        <v>229</v>
      </c>
      <c r="P121" t="s">
        <v>229</v>
      </c>
      <c r="Q121">
        <v>1</v>
      </c>
      <c r="Y121">
        <v>2.25</v>
      </c>
      <c r="AA121">
        <v>8.21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2.25</v>
      </c>
      <c r="AV121">
        <v>0</v>
      </c>
    </row>
    <row r="122" spans="1:48" ht="12.75">
      <c r="A122">
        <f>ROW(Source!A39)</f>
        <v>39</v>
      </c>
      <c r="B122">
        <v>7696564</v>
      </c>
      <c r="C122">
        <v>7696554</v>
      </c>
      <c r="D122">
        <v>6331344</v>
      </c>
      <c r="E122">
        <v>1</v>
      </c>
      <c r="F122">
        <v>1</v>
      </c>
      <c r="G122">
        <v>1</v>
      </c>
      <c r="H122">
        <v>3</v>
      </c>
      <c r="I122" t="s">
        <v>236</v>
      </c>
      <c r="J122" t="s">
        <v>237</v>
      </c>
      <c r="K122" t="s">
        <v>238</v>
      </c>
      <c r="L122">
        <v>1348</v>
      </c>
      <c r="N122">
        <v>1009</v>
      </c>
      <c r="O122" t="s">
        <v>225</v>
      </c>
      <c r="P122" t="s">
        <v>225</v>
      </c>
      <c r="Q122">
        <v>1000</v>
      </c>
      <c r="Y122">
        <v>0.00125</v>
      </c>
      <c r="AA122">
        <v>14752.49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0.00125</v>
      </c>
      <c r="AV122">
        <v>0</v>
      </c>
    </row>
    <row r="123" spans="1:48" ht="12.75">
      <c r="A123">
        <f>ROW(Source!A39)</f>
        <v>39</v>
      </c>
      <c r="B123">
        <v>7696565</v>
      </c>
      <c r="C123">
        <v>7696554</v>
      </c>
      <c r="D123">
        <v>6332139</v>
      </c>
      <c r="E123">
        <v>1</v>
      </c>
      <c r="F123">
        <v>1</v>
      </c>
      <c r="G123">
        <v>1</v>
      </c>
      <c r="H123">
        <v>3</v>
      </c>
      <c r="I123" t="s">
        <v>239</v>
      </c>
      <c r="J123" t="s">
        <v>240</v>
      </c>
      <c r="K123" t="s">
        <v>241</v>
      </c>
      <c r="L123">
        <v>1346</v>
      </c>
      <c r="N123">
        <v>1009</v>
      </c>
      <c r="O123" t="s">
        <v>242</v>
      </c>
      <c r="P123" t="s">
        <v>242</v>
      </c>
      <c r="Q123">
        <v>1</v>
      </c>
      <c r="Y123">
        <v>0.0393</v>
      </c>
      <c r="AA123">
        <v>2.7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0.0393</v>
      </c>
      <c r="AV123">
        <v>0</v>
      </c>
    </row>
    <row r="124" spans="1:48" ht="12.75">
      <c r="A124">
        <f>ROW(Source!A39)</f>
        <v>39</v>
      </c>
      <c r="B124">
        <v>7696566</v>
      </c>
      <c r="C124">
        <v>7696554</v>
      </c>
      <c r="D124">
        <v>6345647</v>
      </c>
      <c r="E124">
        <v>1</v>
      </c>
      <c r="F124">
        <v>1</v>
      </c>
      <c r="G124">
        <v>1</v>
      </c>
      <c r="H124">
        <v>3</v>
      </c>
      <c r="I124" t="s">
        <v>312</v>
      </c>
      <c r="J124" t="s">
        <v>313</v>
      </c>
      <c r="K124" t="s">
        <v>314</v>
      </c>
      <c r="L124">
        <v>1301</v>
      </c>
      <c r="N124">
        <v>1003</v>
      </c>
      <c r="O124" t="s">
        <v>254</v>
      </c>
      <c r="P124" t="s">
        <v>254</v>
      </c>
      <c r="Q124">
        <v>1</v>
      </c>
      <c r="Y124">
        <v>100</v>
      </c>
      <c r="AA124">
        <v>151.51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100</v>
      </c>
      <c r="AV124">
        <v>0</v>
      </c>
    </row>
    <row r="125" spans="1:48" ht="12.75">
      <c r="A125">
        <f>ROW(Source!A39)</f>
        <v>39</v>
      </c>
      <c r="B125">
        <v>7696567</v>
      </c>
      <c r="C125">
        <v>7696554</v>
      </c>
      <c r="D125">
        <v>6345972</v>
      </c>
      <c r="E125">
        <v>1</v>
      </c>
      <c r="F125">
        <v>1</v>
      </c>
      <c r="G125">
        <v>1</v>
      </c>
      <c r="H125">
        <v>3</v>
      </c>
      <c r="I125" t="s">
        <v>249</v>
      </c>
      <c r="J125" t="s">
        <v>250</v>
      </c>
      <c r="K125" t="s">
        <v>63</v>
      </c>
      <c r="L125">
        <v>1346</v>
      </c>
      <c r="N125">
        <v>1009</v>
      </c>
      <c r="O125" t="s">
        <v>242</v>
      </c>
      <c r="P125" t="s">
        <v>242</v>
      </c>
      <c r="Q125">
        <v>1</v>
      </c>
      <c r="Y125">
        <v>0</v>
      </c>
      <c r="AA125">
        <v>14.17</v>
      </c>
      <c r="AB125">
        <v>0</v>
      </c>
      <c r="AC125">
        <v>0</v>
      </c>
      <c r="AD125">
        <v>0</v>
      </c>
      <c r="AN125">
        <v>1</v>
      </c>
      <c r="AO125">
        <v>0</v>
      </c>
      <c r="AP125">
        <v>0</v>
      </c>
      <c r="AQ125">
        <v>0</v>
      </c>
      <c r="AR125">
        <v>0</v>
      </c>
      <c r="AT125">
        <v>0</v>
      </c>
      <c r="AV125">
        <v>0</v>
      </c>
    </row>
    <row r="126" spans="1:48" ht="12.75">
      <c r="A126">
        <f>ROW(Source!A39)</f>
        <v>39</v>
      </c>
      <c r="B126">
        <v>7696568</v>
      </c>
      <c r="C126">
        <v>7696554</v>
      </c>
      <c r="D126">
        <v>6346883</v>
      </c>
      <c r="E126">
        <v>1</v>
      </c>
      <c r="F126">
        <v>1</v>
      </c>
      <c r="G126">
        <v>1</v>
      </c>
      <c r="H126">
        <v>3</v>
      </c>
      <c r="I126" t="s">
        <v>315</v>
      </c>
      <c r="J126" t="s">
        <v>316</v>
      </c>
      <c r="K126" t="s">
        <v>299</v>
      </c>
      <c r="L126">
        <v>1035</v>
      </c>
      <c r="N126">
        <v>1013</v>
      </c>
      <c r="O126" t="s">
        <v>317</v>
      </c>
      <c r="P126" t="s">
        <v>317</v>
      </c>
      <c r="Q126">
        <v>1</v>
      </c>
      <c r="Y126">
        <v>0</v>
      </c>
      <c r="AA126">
        <v>0</v>
      </c>
      <c r="AB126">
        <v>0</v>
      </c>
      <c r="AC126">
        <v>0</v>
      </c>
      <c r="AD126">
        <v>0</v>
      </c>
      <c r="AN126">
        <v>1</v>
      </c>
      <c r="AO126">
        <v>0</v>
      </c>
      <c r="AP126">
        <v>0</v>
      </c>
      <c r="AQ126">
        <v>0</v>
      </c>
      <c r="AR126">
        <v>0</v>
      </c>
      <c r="AT126">
        <v>0</v>
      </c>
      <c r="AV126">
        <v>0</v>
      </c>
    </row>
    <row r="127" spans="1:48" ht="12.75">
      <c r="A127">
        <f>ROW(Source!A39)</f>
        <v>39</v>
      </c>
      <c r="B127">
        <v>7696569</v>
      </c>
      <c r="C127">
        <v>7696554</v>
      </c>
      <c r="D127">
        <v>6350742</v>
      </c>
      <c r="E127">
        <v>1</v>
      </c>
      <c r="F127">
        <v>1</v>
      </c>
      <c r="G127">
        <v>1</v>
      </c>
      <c r="H127">
        <v>3</v>
      </c>
      <c r="I127" t="s">
        <v>272</v>
      </c>
      <c r="J127" t="s">
        <v>273</v>
      </c>
      <c r="K127" t="s">
        <v>274</v>
      </c>
      <c r="L127">
        <v>1339</v>
      </c>
      <c r="N127">
        <v>1007</v>
      </c>
      <c r="O127" t="s">
        <v>229</v>
      </c>
      <c r="P127" t="s">
        <v>229</v>
      </c>
      <c r="Q127">
        <v>1</v>
      </c>
      <c r="Y127">
        <v>0.021</v>
      </c>
      <c r="AA127">
        <v>470.2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0.021</v>
      </c>
      <c r="AV127">
        <v>0</v>
      </c>
    </row>
    <row r="128" spans="1:48" ht="12.75">
      <c r="A128">
        <f>ROW(Source!A39)</f>
        <v>39</v>
      </c>
      <c r="B128">
        <v>7696570</v>
      </c>
      <c r="C128">
        <v>7696554</v>
      </c>
      <c r="D128">
        <v>6352624</v>
      </c>
      <c r="E128">
        <v>1</v>
      </c>
      <c r="F128">
        <v>1</v>
      </c>
      <c r="G128">
        <v>1</v>
      </c>
      <c r="H128">
        <v>3</v>
      </c>
      <c r="I128" t="s">
        <v>255</v>
      </c>
      <c r="J128" t="s">
        <v>256</v>
      </c>
      <c r="K128" t="s">
        <v>257</v>
      </c>
      <c r="L128">
        <v>1339</v>
      </c>
      <c r="N128">
        <v>1007</v>
      </c>
      <c r="O128" t="s">
        <v>229</v>
      </c>
      <c r="P128" t="s">
        <v>229</v>
      </c>
      <c r="Q128">
        <v>1</v>
      </c>
      <c r="Y128">
        <v>0.99</v>
      </c>
      <c r="AA128">
        <v>3.2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0.99</v>
      </c>
      <c r="AV128">
        <v>0</v>
      </c>
    </row>
    <row r="129" spans="1:48" ht="12.75">
      <c r="A129">
        <f>ROW(Source!A40)</f>
        <v>40</v>
      </c>
      <c r="B129">
        <v>7696572</v>
      </c>
      <c r="C129">
        <v>7696571</v>
      </c>
      <c r="D129">
        <v>5603299</v>
      </c>
      <c r="E129">
        <v>1</v>
      </c>
      <c r="F129">
        <v>1</v>
      </c>
      <c r="G129">
        <v>1</v>
      </c>
      <c r="H129">
        <v>1</v>
      </c>
      <c r="I129" t="s">
        <v>286</v>
      </c>
      <c r="K129" t="s">
        <v>287</v>
      </c>
      <c r="L129">
        <v>1476</v>
      </c>
      <c r="N129">
        <v>1013</v>
      </c>
      <c r="O129" t="s">
        <v>203</v>
      </c>
      <c r="P129" t="s">
        <v>204</v>
      </c>
      <c r="Q129">
        <v>1</v>
      </c>
      <c r="Y129">
        <v>1.8</v>
      </c>
      <c r="AA129">
        <v>0</v>
      </c>
      <c r="AB129">
        <v>0</v>
      </c>
      <c r="AC129">
        <v>0</v>
      </c>
      <c r="AD129">
        <v>9.07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1.8</v>
      </c>
      <c r="AV129">
        <v>1</v>
      </c>
    </row>
    <row r="130" spans="1:48" ht="12.75">
      <c r="A130">
        <f>ROW(Source!A40)</f>
        <v>40</v>
      </c>
      <c r="B130">
        <v>7696573</v>
      </c>
      <c r="C130">
        <v>7696571</v>
      </c>
      <c r="D130">
        <v>6331132</v>
      </c>
      <c r="E130">
        <v>1</v>
      </c>
      <c r="F130">
        <v>1</v>
      </c>
      <c r="G130">
        <v>1</v>
      </c>
      <c r="H130">
        <v>3</v>
      </c>
      <c r="I130" t="s">
        <v>318</v>
      </c>
      <c r="J130" t="s">
        <v>319</v>
      </c>
      <c r="K130" t="s">
        <v>320</v>
      </c>
      <c r="L130">
        <v>1348</v>
      </c>
      <c r="N130">
        <v>1009</v>
      </c>
      <c r="O130" t="s">
        <v>225</v>
      </c>
      <c r="P130" t="s">
        <v>225</v>
      </c>
      <c r="Q130">
        <v>1000</v>
      </c>
      <c r="Y130">
        <v>0.00049</v>
      </c>
      <c r="AA130">
        <v>5251.27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0.00049</v>
      </c>
      <c r="AV130">
        <v>0</v>
      </c>
    </row>
    <row r="131" spans="1:48" ht="12.75">
      <c r="A131">
        <f>ROW(Source!A40)</f>
        <v>40</v>
      </c>
      <c r="B131">
        <v>7696574</v>
      </c>
      <c r="C131">
        <v>7696571</v>
      </c>
      <c r="D131">
        <v>6331892</v>
      </c>
      <c r="E131">
        <v>1</v>
      </c>
      <c r="F131">
        <v>1</v>
      </c>
      <c r="G131">
        <v>1</v>
      </c>
      <c r="H131">
        <v>3</v>
      </c>
      <c r="I131" t="s">
        <v>321</v>
      </c>
      <c r="J131" t="s">
        <v>322</v>
      </c>
      <c r="K131" t="s">
        <v>323</v>
      </c>
      <c r="L131">
        <v>1348</v>
      </c>
      <c r="N131">
        <v>1009</v>
      </c>
      <c r="O131" t="s">
        <v>225</v>
      </c>
      <c r="P131" t="s">
        <v>225</v>
      </c>
      <c r="Q131">
        <v>1000</v>
      </c>
      <c r="Y131">
        <v>0.00064</v>
      </c>
      <c r="AA131">
        <v>887.24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0.00064</v>
      </c>
      <c r="AV131">
        <v>0</v>
      </c>
    </row>
    <row r="132" spans="1:48" ht="12.75">
      <c r="A132">
        <f>ROW(Source!A40)</f>
        <v>40</v>
      </c>
      <c r="B132">
        <v>7696575</v>
      </c>
      <c r="C132">
        <v>7696571</v>
      </c>
      <c r="D132">
        <v>6332222</v>
      </c>
      <c r="E132">
        <v>1</v>
      </c>
      <c r="F132">
        <v>1</v>
      </c>
      <c r="G132">
        <v>1</v>
      </c>
      <c r="H132">
        <v>3</v>
      </c>
      <c r="I132" t="s">
        <v>324</v>
      </c>
      <c r="J132" t="s">
        <v>325</v>
      </c>
      <c r="K132" t="s">
        <v>326</v>
      </c>
      <c r="L132">
        <v>1346</v>
      </c>
      <c r="N132">
        <v>1009</v>
      </c>
      <c r="O132" t="s">
        <v>242</v>
      </c>
      <c r="P132" t="s">
        <v>242</v>
      </c>
      <c r="Q132">
        <v>1</v>
      </c>
      <c r="Y132">
        <v>0.0018</v>
      </c>
      <c r="AA132">
        <v>13.37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0.0018</v>
      </c>
      <c r="AV132">
        <v>0</v>
      </c>
    </row>
    <row r="133" spans="1:48" ht="12.75">
      <c r="A133">
        <f>ROW(Source!A41)</f>
        <v>41</v>
      </c>
      <c r="B133">
        <v>7696577</v>
      </c>
      <c r="C133">
        <v>7696576</v>
      </c>
      <c r="D133">
        <v>5612288</v>
      </c>
      <c r="E133">
        <v>1</v>
      </c>
      <c r="F133">
        <v>1</v>
      </c>
      <c r="G133">
        <v>1</v>
      </c>
      <c r="H133">
        <v>1</v>
      </c>
      <c r="I133" t="s">
        <v>327</v>
      </c>
      <c r="K133" t="s">
        <v>328</v>
      </c>
      <c r="L133">
        <v>1476</v>
      </c>
      <c r="N133">
        <v>1013</v>
      </c>
      <c r="O133" t="s">
        <v>203</v>
      </c>
      <c r="P133" t="s">
        <v>204</v>
      </c>
      <c r="Q133">
        <v>1</v>
      </c>
      <c r="Y133">
        <v>1.46</v>
      </c>
      <c r="AA133">
        <v>0</v>
      </c>
      <c r="AB133">
        <v>0</v>
      </c>
      <c r="AC133">
        <v>0</v>
      </c>
      <c r="AD133">
        <v>9.91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1.46</v>
      </c>
      <c r="AV133">
        <v>1</v>
      </c>
    </row>
    <row r="134" spans="1:48" ht="12.75">
      <c r="A134">
        <f>ROW(Source!A41)</f>
        <v>41</v>
      </c>
      <c r="B134">
        <v>7696578</v>
      </c>
      <c r="C134">
        <v>7696576</v>
      </c>
      <c r="D134">
        <v>121548</v>
      </c>
      <c r="E134">
        <v>1</v>
      </c>
      <c r="F134">
        <v>1</v>
      </c>
      <c r="G134">
        <v>1</v>
      </c>
      <c r="H134">
        <v>1</v>
      </c>
      <c r="I134" t="s">
        <v>28</v>
      </c>
      <c r="K134" t="s">
        <v>205</v>
      </c>
      <c r="L134">
        <v>608254</v>
      </c>
      <c r="N134">
        <v>1013</v>
      </c>
      <c r="O134" t="s">
        <v>206</v>
      </c>
      <c r="P134" t="s">
        <v>206</v>
      </c>
      <c r="Q134">
        <v>1</v>
      </c>
      <c r="Y134">
        <v>0.01</v>
      </c>
      <c r="AA134">
        <v>0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0.01</v>
      </c>
      <c r="AV134">
        <v>2</v>
      </c>
    </row>
    <row r="135" spans="1:48" ht="12.75">
      <c r="A135">
        <f>ROW(Source!A41)</f>
        <v>41</v>
      </c>
      <c r="B135">
        <v>7696579</v>
      </c>
      <c r="C135">
        <v>7696576</v>
      </c>
      <c r="D135">
        <v>6298559</v>
      </c>
      <c r="E135">
        <v>1</v>
      </c>
      <c r="F135">
        <v>1</v>
      </c>
      <c r="G135">
        <v>1</v>
      </c>
      <c r="H135">
        <v>2</v>
      </c>
      <c r="I135" t="s">
        <v>288</v>
      </c>
      <c r="J135" t="s">
        <v>289</v>
      </c>
      <c r="K135" t="s">
        <v>290</v>
      </c>
      <c r="L135">
        <v>1368</v>
      </c>
      <c r="N135">
        <v>1011</v>
      </c>
      <c r="O135" t="s">
        <v>215</v>
      </c>
      <c r="P135" t="s">
        <v>215</v>
      </c>
      <c r="Q135">
        <v>1</v>
      </c>
      <c r="Y135">
        <v>0.75</v>
      </c>
      <c r="AA135">
        <v>0</v>
      </c>
      <c r="AB135">
        <v>2.94</v>
      </c>
      <c r="AC135">
        <v>0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0.75</v>
      </c>
      <c r="AV135">
        <v>0</v>
      </c>
    </row>
    <row r="136" spans="1:48" ht="12.75">
      <c r="A136">
        <f>ROW(Source!A41)</f>
        <v>41</v>
      </c>
      <c r="B136">
        <v>7696580</v>
      </c>
      <c r="C136">
        <v>7696576</v>
      </c>
      <c r="D136">
        <v>6300745</v>
      </c>
      <c r="E136">
        <v>1</v>
      </c>
      <c r="F136">
        <v>1</v>
      </c>
      <c r="G136">
        <v>1</v>
      </c>
      <c r="H136">
        <v>2</v>
      </c>
      <c r="I136" t="s">
        <v>219</v>
      </c>
      <c r="J136" t="s">
        <v>220</v>
      </c>
      <c r="K136" t="s">
        <v>221</v>
      </c>
      <c r="L136">
        <v>1368</v>
      </c>
      <c r="N136">
        <v>1011</v>
      </c>
      <c r="O136" t="s">
        <v>215</v>
      </c>
      <c r="P136" t="s">
        <v>215</v>
      </c>
      <c r="Q136">
        <v>1</v>
      </c>
      <c r="Y136">
        <v>0.01</v>
      </c>
      <c r="AA136">
        <v>0</v>
      </c>
      <c r="AB136">
        <v>60.77</v>
      </c>
      <c r="AC136">
        <v>11.81</v>
      </c>
      <c r="AD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0.01</v>
      </c>
      <c r="AV136">
        <v>0</v>
      </c>
    </row>
    <row r="137" spans="1:48" ht="12.75">
      <c r="A137">
        <f>ROW(Source!A41)</f>
        <v>41</v>
      </c>
      <c r="B137">
        <v>7696581</v>
      </c>
      <c r="C137">
        <v>7696576</v>
      </c>
      <c r="D137">
        <v>6332060</v>
      </c>
      <c r="E137">
        <v>1</v>
      </c>
      <c r="F137">
        <v>1</v>
      </c>
      <c r="G137">
        <v>1</v>
      </c>
      <c r="H137">
        <v>3</v>
      </c>
      <c r="I137" t="s">
        <v>291</v>
      </c>
      <c r="J137" t="s">
        <v>292</v>
      </c>
      <c r="K137" t="s">
        <v>293</v>
      </c>
      <c r="L137">
        <v>1348</v>
      </c>
      <c r="N137">
        <v>1009</v>
      </c>
      <c r="O137" t="s">
        <v>225</v>
      </c>
      <c r="P137" t="s">
        <v>225</v>
      </c>
      <c r="Q137">
        <v>1000</v>
      </c>
      <c r="Y137">
        <v>0.00033</v>
      </c>
      <c r="AA137">
        <v>8975.91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0.00033</v>
      </c>
      <c r="AV137">
        <v>0</v>
      </c>
    </row>
    <row r="138" spans="1:48" ht="12.75">
      <c r="A138">
        <f>ROW(Source!A41)</f>
        <v>41</v>
      </c>
      <c r="B138">
        <v>7696582</v>
      </c>
      <c r="C138">
        <v>7696576</v>
      </c>
      <c r="D138">
        <v>6345718</v>
      </c>
      <c r="E138">
        <v>1</v>
      </c>
      <c r="F138">
        <v>1</v>
      </c>
      <c r="G138">
        <v>1</v>
      </c>
      <c r="H138">
        <v>3</v>
      </c>
      <c r="I138" t="s">
        <v>83</v>
      </c>
      <c r="J138" t="s">
        <v>85</v>
      </c>
      <c r="K138" t="s">
        <v>84</v>
      </c>
      <c r="L138">
        <v>1354</v>
      </c>
      <c r="N138">
        <v>1010</v>
      </c>
      <c r="O138" t="s">
        <v>52</v>
      </c>
      <c r="P138" t="s">
        <v>52</v>
      </c>
      <c r="Q138">
        <v>1</v>
      </c>
      <c r="Y138">
        <v>1</v>
      </c>
      <c r="AA138">
        <v>115.15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1</v>
      </c>
      <c r="AV138">
        <v>0</v>
      </c>
    </row>
    <row r="139" spans="1:48" ht="12.75">
      <c r="A139">
        <f>ROW(Source!A43)</f>
        <v>43</v>
      </c>
      <c r="B139">
        <v>7696588</v>
      </c>
      <c r="C139">
        <v>7696587</v>
      </c>
      <c r="D139">
        <v>5603299</v>
      </c>
      <c r="E139">
        <v>1</v>
      </c>
      <c r="F139">
        <v>1</v>
      </c>
      <c r="G139">
        <v>1</v>
      </c>
      <c r="H139">
        <v>1</v>
      </c>
      <c r="I139" t="s">
        <v>286</v>
      </c>
      <c r="K139" t="s">
        <v>287</v>
      </c>
      <c r="L139">
        <v>1476</v>
      </c>
      <c r="N139">
        <v>1013</v>
      </c>
      <c r="O139" t="s">
        <v>203</v>
      </c>
      <c r="P139" t="s">
        <v>204</v>
      </c>
      <c r="Q139">
        <v>1</v>
      </c>
      <c r="Y139">
        <v>1.47</v>
      </c>
      <c r="AA139">
        <v>0</v>
      </c>
      <c r="AB139">
        <v>0</v>
      </c>
      <c r="AC139">
        <v>0</v>
      </c>
      <c r="AD139">
        <v>9.07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1.47</v>
      </c>
      <c r="AV139">
        <v>1</v>
      </c>
    </row>
    <row r="140" spans="1:48" ht="12.75">
      <c r="A140">
        <f>ROW(Source!A43)</f>
        <v>43</v>
      </c>
      <c r="B140">
        <v>7696589</v>
      </c>
      <c r="C140">
        <v>7696587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28</v>
      </c>
      <c r="K140" t="s">
        <v>205</v>
      </c>
      <c r="L140">
        <v>608254</v>
      </c>
      <c r="N140">
        <v>1013</v>
      </c>
      <c r="O140" t="s">
        <v>206</v>
      </c>
      <c r="P140" t="s">
        <v>206</v>
      </c>
      <c r="Q140">
        <v>1</v>
      </c>
      <c r="Y140">
        <v>0.01</v>
      </c>
      <c r="AA140">
        <v>0</v>
      </c>
      <c r="AB140">
        <v>0</v>
      </c>
      <c r="AC140">
        <v>0</v>
      </c>
      <c r="AD140">
        <v>101.33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0.01</v>
      </c>
      <c r="AV140">
        <v>2</v>
      </c>
    </row>
    <row r="141" spans="1:48" ht="12.75">
      <c r="A141">
        <f>ROW(Source!A43)</f>
        <v>43</v>
      </c>
      <c r="B141">
        <v>7696590</v>
      </c>
      <c r="C141">
        <v>7696587</v>
      </c>
      <c r="D141">
        <v>6298559</v>
      </c>
      <c r="E141">
        <v>1</v>
      </c>
      <c r="F141">
        <v>1</v>
      </c>
      <c r="G141">
        <v>1</v>
      </c>
      <c r="H141">
        <v>2</v>
      </c>
      <c r="I141" t="s">
        <v>288</v>
      </c>
      <c r="J141" t="s">
        <v>289</v>
      </c>
      <c r="K141" t="s">
        <v>290</v>
      </c>
      <c r="L141">
        <v>1368</v>
      </c>
      <c r="N141">
        <v>1011</v>
      </c>
      <c r="O141" t="s">
        <v>215</v>
      </c>
      <c r="P141" t="s">
        <v>215</v>
      </c>
      <c r="Q141">
        <v>1</v>
      </c>
      <c r="Y141">
        <v>0.35</v>
      </c>
      <c r="AA141">
        <v>0</v>
      </c>
      <c r="AB141">
        <v>2.94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0.35</v>
      </c>
      <c r="AV141">
        <v>0</v>
      </c>
    </row>
    <row r="142" spans="1:48" ht="12.75">
      <c r="A142">
        <f>ROW(Source!A43)</f>
        <v>43</v>
      </c>
      <c r="B142">
        <v>7696591</v>
      </c>
      <c r="C142">
        <v>7696587</v>
      </c>
      <c r="D142">
        <v>6300745</v>
      </c>
      <c r="E142">
        <v>1</v>
      </c>
      <c r="F142">
        <v>1</v>
      </c>
      <c r="G142">
        <v>1</v>
      </c>
      <c r="H142">
        <v>2</v>
      </c>
      <c r="I142" t="s">
        <v>219</v>
      </c>
      <c r="J142" t="s">
        <v>220</v>
      </c>
      <c r="K142" t="s">
        <v>221</v>
      </c>
      <c r="L142">
        <v>1368</v>
      </c>
      <c r="N142">
        <v>1011</v>
      </c>
      <c r="O142" t="s">
        <v>215</v>
      </c>
      <c r="P142" t="s">
        <v>215</v>
      </c>
      <c r="Q142">
        <v>1</v>
      </c>
      <c r="Y142">
        <v>0.01</v>
      </c>
      <c r="AA142">
        <v>0</v>
      </c>
      <c r="AB142">
        <v>60.77</v>
      </c>
      <c r="AC142">
        <v>11.81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0.01</v>
      </c>
      <c r="AV142">
        <v>0</v>
      </c>
    </row>
    <row r="143" spans="1:48" ht="12.75">
      <c r="A143">
        <f>ROW(Source!A43)</f>
        <v>43</v>
      </c>
      <c r="B143">
        <v>7696592</v>
      </c>
      <c r="C143">
        <v>7696587</v>
      </c>
      <c r="D143">
        <v>6332060</v>
      </c>
      <c r="E143">
        <v>1</v>
      </c>
      <c r="F143">
        <v>1</v>
      </c>
      <c r="G143">
        <v>1</v>
      </c>
      <c r="H143">
        <v>3</v>
      </c>
      <c r="I143" t="s">
        <v>291</v>
      </c>
      <c r="J143" t="s">
        <v>292</v>
      </c>
      <c r="K143" t="s">
        <v>293</v>
      </c>
      <c r="L143">
        <v>1348</v>
      </c>
      <c r="N143">
        <v>1009</v>
      </c>
      <c r="O143" t="s">
        <v>225</v>
      </c>
      <c r="P143" t="s">
        <v>225</v>
      </c>
      <c r="Q143">
        <v>1000</v>
      </c>
      <c r="Y143">
        <v>0.00014</v>
      </c>
      <c r="AA143">
        <v>8975.91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0.00014</v>
      </c>
      <c r="AV143">
        <v>0</v>
      </c>
    </row>
    <row r="144" spans="1:48" ht="12.75">
      <c r="A144">
        <f>ROW(Source!A43)</f>
        <v>43</v>
      </c>
      <c r="B144">
        <v>7696593</v>
      </c>
      <c r="C144">
        <v>7696587</v>
      </c>
      <c r="D144">
        <v>6344847</v>
      </c>
      <c r="E144">
        <v>1</v>
      </c>
      <c r="F144">
        <v>1</v>
      </c>
      <c r="G144">
        <v>1</v>
      </c>
      <c r="H144">
        <v>3</v>
      </c>
      <c r="I144" t="s">
        <v>294</v>
      </c>
      <c r="J144" t="s">
        <v>295</v>
      </c>
      <c r="K144" t="s">
        <v>296</v>
      </c>
      <c r="L144">
        <v>1348</v>
      </c>
      <c r="N144">
        <v>1009</v>
      </c>
      <c r="O144" t="s">
        <v>225</v>
      </c>
      <c r="P144" t="s">
        <v>225</v>
      </c>
      <c r="Q144">
        <v>1000</v>
      </c>
      <c r="Y144">
        <v>0.0011</v>
      </c>
      <c r="AA144">
        <v>33305.73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0.0011</v>
      </c>
      <c r="AV144">
        <v>0</v>
      </c>
    </row>
    <row r="145" spans="1:48" ht="12.75">
      <c r="A145">
        <f>ROW(Source!A43)</f>
        <v>43</v>
      </c>
      <c r="B145">
        <v>7696595</v>
      </c>
      <c r="C145">
        <v>7696587</v>
      </c>
      <c r="D145">
        <v>6345752</v>
      </c>
      <c r="E145">
        <v>1</v>
      </c>
      <c r="F145">
        <v>1</v>
      </c>
      <c r="G145">
        <v>1</v>
      </c>
      <c r="H145">
        <v>3</v>
      </c>
      <c r="I145" t="s">
        <v>91</v>
      </c>
      <c r="J145" t="s">
        <v>93</v>
      </c>
      <c r="K145" t="s">
        <v>92</v>
      </c>
      <c r="L145">
        <v>1354</v>
      </c>
      <c r="N145">
        <v>1010</v>
      </c>
      <c r="O145" t="s">
        <v>52</v>
      </c>
      <c r="P145" t="s">
        <v>52</v>
      </c>
      <c r="Q145">
        <v>1</v>
      </c>
      <c r="Y145">
        <v>2</v>
      </c>
      <c r="AA145">
        <v>162.99</v>
      </c>
      <c r="AB145">
        <v>0</v>
      </c>
      <c r="AC145">
        <v>0</v>
      </c>
      <c r="AD145">
        <v>0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2</v>
      </c>
      <c r="AV145">
        <v>0</v>
      </c>
    </row>
    <row r="146" spans="1:48" ht="12.75">
      <c r="A146">
        <f>ROW(Source!A43)</f>
        <v>43</v>
      </c>
      <c r="B146">
        <v>7696594</v>
      </c>
      <c r="C146">
        <v>7696587</v>
      </c>
      <c r="D146">
        <v>6346673</v>
      </c>
      <c r="E146">
        <v>1</v>
      </c>
      <c r="F146">
        <v>1</v>
      </c>
      <c r="G146">
        <v>1</v>
      </c>
      <c r="H146">
        <v>3</v>
      </c>
      <c r="I146" t="s">
        <v>297</v>
      </c>
      <c r="J146" t="s">
        <v>298</v>
      </c>
      <c r="K146" t="s">
        <v>299</v>
      </c>
      <c r="L146">
        <v>1354</v>
      </c>
      <c r="N146">
        <v>1010</v>
      </c>
      <c r="O146" t="s">
        <v>52</v>
      </c>
      <c r="P146" t="s">
        <v>52</v>
      </c>
      <c r="Q146">
        <v>1</v>
      </c>
      <c r="Y146">
        <v>1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1</v>
      </c>
      <c r="AV146">
        <v>0</v>
      </c>
    </row>
    <row r="147" spans="1:48" ht="12.75">
      <c r="A147">
        <f>ROW(Source!A43)</f>
        <v>43</v>
      </c>
      <c r="B147">
        <v>7696598</v>
      </c>
      <c r="C147">
        <v>7696587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88</v>
      </c>
      <c r="K147" t="s">
        <v>89</v>
      </c>
      <c r="L147">
        <v>1371</v>
      </c>
      <c r="N147">
        <v>1013</v>
      </c>
      <c r="O147" t="s">
        <v>57</v>
      </c>
      <c r="P147" t="s">
        <v>57</v>
      </c>
      <c r="Q147">
        <v>1</v>
      </c>
      <c r="Y147">
        <v>1</v>
      </c>
      <c r="AA147">
        <v>1217.05</v>
      </c>
      <c r="AB147">
        <v>0</v>
      </c>
      <c r="AC147">
        <v>0</v>
      </c>
      <c r="AD147">
        <v>0</v>
      </c>
      <c r="AN147">
        <v>0</v>
      </c>
      <c r="AO147">
        <v>0</v>
      </c>
      <c r="AP147">
        <v>2</v>
      </c>
      <c r="AQ147">
        <v>0</v>
      </c>
      <c r="AR147">
        <v>0</v>
      </c>
      <c r="AT147">
        <v>1</v>
      </c>
      <c r="AV147">
        <v>0</v>
      </c>
    </row>
    <row r="148" spans="1:48" ht="12.75">
      <c r="A148">
        <f>ROW(Source!A43)</f>
        <v>43</v>
      </c>
      <c r="B148">
        <v>7696596</v>
      </c>
      <c r="C148">
        <v>7696587</v>
      </c>
      <c r="D148">
        <v>6365446</v>
      </c>
      <c r="E148">
        <v>1</v>
      </c>
      <c r="F148">
        <v>1</v>
      </c>
      <c r="G148">
        <v>1</v>
      </c>
      <c r="H148">
        <v>3</v>
      </c>
      <c r="I148" t="s">
        <v>303</v>
      </c>
      <c r="J148" t="s">
        <v>304</v>
      </c>
      <c r="K148" t="s">
        <v>305</v>
      </c>
      <c r="L148">
        <v>1356</v>
      </c>
      <c r="N148">
        <v>1010</v>
      </c>
      <c r="O148" t="s">
        <v>306</v>
      </c>
      <c r="P148" t="s">
        <v>306</v>
      </c>
      <c r="Q148">
        <v>1000</v>
      </c>
      <c r="Y148">
        <v>0.002</v>
      </c>
      <c r="AA148">
        <v>3422.98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0.002</v>
      </c>
      <c r="AV148">
        <v>0</v>
      </c>
    </row>
    <row r="149" spans="1:48" ht="12.75">
      <c r="A149">
        <f>ROW(Source!A46)</f>
        <v>46</v>
      </c>
      <c r="B149">
        <v>7696608</v>
      </c>
      <c r="C149">
        <v>7696606</v>
      </c>
      <c r="D149">
        <v>5608703</v>
      </c>
      <c r="E149">
        <v>1</v>
      </c>
      <c r="F149">
        <v>1</v>
      </c>
      <c r="G149">
        <v>1</v>
      </c>
      <c r="H149">
        <v>1</v>
      </c>
      <c r="I149" t="s">
        <v>201</v>
      </c>
      <c r="K149" t="s">
        <v>202</v>
      </c>
      <c r="L149">
        <v>1476</v>
      </c>
      <c r="N149">
        <v>1013</v>
      </c>
      <c r="O149" t="s">
        <v>203</v>
      </c>
      <c r="P149" t="s">
        <v>204</v>
      </c>
      <c r="Q149">
        <v>1</v>
      </c>
      <c r="Y149">
        <v>2.17</v>
      </c>
      <c r="AA149">
        <v>0</v>
      </c>
      <c r="AB149">
        <v>0</v>
      </c>
      <c r="AC149">
        <v>0</v>
      </c>
      <c r="AD149">
        <v>9.61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2.17</v>
      </c>
      <c r="AV149">
        <v>1</v>
      </c>
    </row>
    <row r="150" spans="1:48" ht="12.75">
      <c r="A150">
        <f>ROW(Source!A46)</f>
        <v>46</v>
      </c>
      <c r="B150">
        <v>7696609</v>
      </c>
      <c r="C150">
        <v>7696606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205</v>
      </c>
      <c r="L150">
        <v>608254</v>
      </c>
      <c r="N150">
        <v>1013</v>
      </c>
      <c r="O150" t="s">
        <v>206</v>
      </c>
      <c r="P150" t="s">
        <v>206</v>
      </c>
      <c r="Q150">
        <v>1</v>
      </c>
      <c r="Y150">
        <v>0.06</v>
      </c>
      <c r="AA150">
        <v>0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0.06</v>
      </c>
      <c r="AV150">
        <v>2</v>
      </c>
    </row>
    <row r="151" spans="1:48" ht="12.75">
      <c r="A151">
        <f>ROW(Source!A46)</f>
        <v>46</v>
      </c>
      <c r="B151">
        <v>7696610</v>
      </c>
      <c r="C151">
        <v>7696606</v>
      </c>
      <c r="D151">
        <v>6298559</v>
      </c>
      <c r="E151">
        <v>1</v>
      </c>
      <c r="F151">
        <v>1</v>
      </c>
      <c r="G151">
        <v>1</v>
      </c>
      <c r="H151">
        <v>2</v>
      </c>
      <c r="I151" t="s">
        <v>288</v>
      </c>
      <c r="J151" t="s">
        <v>289</v>
      </c>
      <c r="K151" t="s">
        <v>290</v>
      </c>
      <c r="L151">
        <v>1368</v>
      </c>
      <c r="N151">
        <v>1011</v>
      </c>
      <c r="O151" t="s">
        <v>215</v>
      </c>
      <c r="P151" t="s">
        <v>215</v>
      </c>
      <c r="Q151">
        <v>1</v>
      </c>
      <c r="Y151">
        <v>0.42</v>
      </c>
      <c r="AA151">
        <v>0</v>
      </c>
      <c r="AB151">
        <v>2.94</v>
      </c>
      <c r="AC151">
        <v>0</v>
      </c>
      <c r="AD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0.42</v>
      </c>
      <c r="AV151">
        <v>0</v>
      </c>
    </row>
    <row r="152" spans="1:48" ht="12.75">
      <c r="A152">
        <f>ROW(Source!A46)</f>
        <v>46</v>
      </c>
      <c r="B152">
        <v>7696611</v>
      </c>
      <c r="C152">
        <v>7696606</v>
      </c>
      <c r="D152">
        <v>6298561</v>
      </c>
      <c r="E152">
        <v>1</v>
      </c>
      <c r="F152">
        <v>1</v>
      </c>
      <c r="G152">
        <v>1</v>
      </c>
      <c r="H152">
        <v>2</v>
      </c>
      <c r="I152" t="s">
        <v>216</v>
      </c>
      <c r="J152" t="s">
        <v>217</v>
      </c>
      <c r="K152" t="s">
        <v>218</v>
      </c>
      <c r="L152">
        <v>1368</v>
      </c>
      <c r="N152">
        <v>1011</v>
      </c>
      <c r="O152" t="s">
        <v>215</v>
      </c>
      <c r="P152" t="s">
        <v>215</v>
      </c>
      <c r="Q152">
        <v>1</v>
      </c>
      <c r="Y152">
        <v>0.06</v>
      </c>
      <c r="AA152">
        <v>0</v>
      </c>
      <c r="AB152">
        <v>0.86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0.06</v>
      </c>
      <c r="AV152">
        <v>0</v>
      </c>
    </row>
    <row r="153" spans="1:48" ht="12.75">
      <c r="A153">
        <f>ROW(Source!A46)</f>
        <v>46</v>
      </c>
      <c r="B153">
        <v>7696612</v>
      </c>
      <c r="C153">
        <v>7696606</v>
      </c>
      <c r="D153">
        <v>6300745</v>
      </c>
      <c r="E153">
        <v>1</v>
      </c>
      <c r="F153">
        <v>1</v>
      </c>
      <c r="G153">
        <v>1</v>
      </c>
      <c r="H153">
        <v>2</v>
      </c>
      <c r="I153" t="s">
        <v>219</v>
      </c>
      <c r="J153" t="s">
        <v>220</v>
      </c>
      <c r="K153" t="s">
        <v>221</v>
      </c>
      <c r="L153">
        <v>1368</v>
      </c>
      <c r="N153">
        <v>1011</v>
      </c>
      <c r="O153" t="s">
        <v>215</v>
      </c>
      <c r="P153" t="s">
        <v>215</v>
      </c>
      <c r="Q153">
        <v>1</v>
      </c>
      <c r="Y153">
        <v>0.06</v>
      </c>
      <c r="AA153">
        <v>0</v>
      </c>
      <c r="AB153">
        <v>60.77</v>
      </c>
      <c r="AC153">
        <v>11.81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0.06</v>
      </c>
      <c r="AV153">
        <v>0</v>
      </c>
    </row>
    <row r="154" spans="1:48" ht="12.75">
      <c r="A154">
        <f>ROW(Source!A46)</f>
        <v>46</v>
      </c>
      <c r="B154">
        <v>7696622</v>
      </c>
      <c r="C154">
        <v>7696606</v>
      </c>
      <c r="D154">
        <v>0</v>
      </c>
      <c r="E154">
        <v>0</v>
      </c>
      <c r="F154">
        <v>1</v>
      </c>
      <c r="G154">
        <v>1</v>
      </c>
      <c r="H154">
        <v>3</v>
      </c>
      <c r="K154" t="s">
        <v>104</v>
      </c>
      <c r="L154">
        <v>1371</v>
      </c>
      <c r="N154">
        <v>1013</v>
      </c>
      <c r="O154" t="s">
        <v>57</v>
      </c>
      <c r="P154" t="s">
        <v>57</v>
      </c>
      <c r="Q154">
        <v>1</v>
      </c>
      <c r="Y154">
        <v>0.5</v>
      </c>
      <c r="AA154">
        <v>1266.46</v>
      </c>
      <c r="AB154">
        <v>0</v>
      </c>
      <c r="AC154">
        <v>0</v>
      </c>
      <c r="AD154">
        <v>0</v>
      </c>
      <c r="AN154">
        <v>0</v>
      </c>
      <c r="AO154">
        <v>0</v>
      </c>
      <c r="AP154">
        <v>2</v>
      </c>
      <c r="AQ154">
        <v>0</v>
      </c>
      <c r="AR154">
        <v>0</v>
      </c>
      <c r="AT154">
        <v>0.5</v>
      </c>
      <c r="AV154">
        <v>0</v>
      </c>
    </row>
    <row r="155" spans="1:48" ht="12.75">
      <c r="A155">
        <f>ROW(Source!A46)</f>
        <v>46</v>
      </c>
      <c r="B155">
        <v>7696613</v>
      </c>
      <c r="C155">
        <v>7696606</v>
      </c>
      <c r="D155">
        <v>6330860</v>
      </c>
      <c r="E155">
        <v>1</v>
      </c>
      <c r="F155">
        <v>1</v>
      </c>
      <c r="G155">
        <v>1</v>
      </c>
      <c r="H155">
        <v>3</v>
      </c>
      <c r="I155" t="s">
        <v>226</v>
      </c>
      <c r="J155" t="s">
        <v>227</v>
      </c>
      <c r="K155" t="s">
        <v>228</v>
      </c>
      <c r="L155">
        <v>1339</v>
      </c>
      <c r="N155">
        <v>1007</v>
      </c>
      <c r="O155" t="s">
        <v>229</v>
      </c>
      <c r="P155" t="s">
        <v>229</v>
      </c>
      <c r="Q155">
        <v>1</v>
      </c>
      <c r="Y155">
        <v>0.05</v>
      </c>
      <c r="AA155">
        <v>8.21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0.05</v>
      </c>
      <c r="AV155">
        <v>0</v>
      </c>
    </row>
    <row r="156" spans="1:48" ht="12.75">
      <c r="A156">
        <f>ROW(Source!A46)</f>
        <v>46</v>
      </c>
      <c r="B156">
        <v>7696614</v>
      </c>
      <c r="C156">
        <v>7696606</v>
      </c>
      <c r="D156">
        <v>6332052</v>
      </c>
      <c r="E156">
        <v>1</v>
      </c>
      <c r="F156">
        <v>1</v>
      </c>
      <c r="G156">
        <v>1</v>
      </c>
      <c r="H156">
        <v>3</v>
      </c>
      <c r="I156" t="s">
        <v>329</v>
      </c>
      <c r="J156" t="s">
        <v>330</v>
      </c>
      <c r="K156" t="s">
        <v>331</v>
      </c>
      <c r="L156">
        <v>1348</v>
      </c>
      <c r="N156">
        <v>1009</v>
      </c>
      <c r="O156" t="s">
        <v>225</v>
      </c>
      <c r="P156" t="s">
        <v>225</v>
      </c>
      <c r="Q156">
        <v>1000</v>
      </c>
      <c r="Y156">
        <v>2E-05</v>
      </c>
      <c r="AA156">
        <v>9452.18</v>
      </c>
      <c r="AB156">
        <v>0</v>
      </c>
      <c r="AC156">
        <v>0</v>
      </c>
      <c r="AD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2E-05</v>
      </c>
      <c r="AV156">
        <v>0</v>
      </c>
    </row>
    <row r="157" spans="1:48" ht="12.75">
      <c r="A157">
        <f>ROW(Source!A46)</f>
        <v>46</v>
      </c>
      <c r="B157">
        <v>7696615</v>
      </c>
      <c r="C157">
        <v>7696606</v>
      </c>
      <c r="D157">
        <v>6332140</v>
      </c>
      <c r="E157">
        <v>1</v>
      </c>
      <c r="F157">
        <v>1</v>
      </c>
      <c r="G157">
        <v>1</v>
      </c>
      <c r="H157">
        <v>3</v>
      </c>
      <c r="I157" t="s">
        <v>266</v>
      </c>
      <c r="J157" t="s">
        <v>267</v>
      </c>
      <c r="K157" t="s">
        <v>268</v>
      </c>
      <c r="L157">
        <v>1339</v>
      </c>
      <c r="N157">
        <v>1007</v>
      </c>
      <c r="O157" t="s">
        <v>229</v>
      </c>
      <c r="P157" t="s">
        <v>229</v>
      </c>
      <c r="Q157">
        <v>1</v>
      </c>
      <c r="Y157">
        <v>0.005</v>
      </c>
      <c r="AA157">
        <v>46.97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0.005</v>
      </c>
      <c r="AV157">
        <v>0</v>
      </c>
    </row>
    <row r="158" spans="1:48" ht="12.75">
      <c r="A158">
        <f>ROW(Source!A46)</f>
        <v>46</v>
      </c>
      <c r="B158">
        <v>7696616</v>
      </c>
      <c r="C158">
        <v>7696606</v>
      </c>
      <c r="D158">
        <v>6344847</v>
      </c>
      <c r="E158">
        <v>1</v>
      </c>
      <c r="F158">
        <v>1</v>
      </c>
      <c r="G158">
        <v>1</v>
      </c>
      <c r="H158">
        <v>3</v>
      </c>
      <c r="I158" t="s">
        <v>294</v>
      </c>
      <c r="J158" t="s">
        <v>295</v>
      </c>
      <c r="K158" t="s">
        <v>296</v>
      </c>
      <c r="L158">
        <v>1348</v>
      </c>
      <c r="N158">
        <v>1009</v>
      </c>
      <c r="O158" t="s">
        <v>225</v>
      </c>
      <c r="P158" t="s">
        <v>225</v>
      </c>
      <c r="Q158">
        <v>1000</v>
      </c>
      <c r="Y158">
        <v>0.0015</v>
      </c>
      <c r="AA158">
        <v>33305.73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0.0015</v>
      </c>
      <c r="AV158">
        <v>0</v>
      </c>
    </row>
    <row r="159" spans="1:48" ht="12.75">
      <c r="A159">
        <f>ROW(Source!A46)</f>
        <v>46</v>
      </c>
      <c r="B159">
        <v>7696617</v>
      </c>
      <c r="C159">
        <v>7696606</v>
      </c>
      <c r="D159">
        <v>6348794</v>
      </c>
      <c r="E159">
        <v>1</v>
      </c>
      <c r="F159">
        <v>1</v>
      </c>
      <c r="G159">
        <v>1</v>
      </c>
      <c r="H159">
        <v>3</v>
      </c>
      <c r="I159" t="s">
        <v>100</v>
      </c>
      <c r="J159" t="s">
        <v>102</v>
      </c>
      <c r="K159" t="s">
        <v>101</v>
      </c>
      <c r="L159">
        <v>1354</v>
      </c>
      <c r="N159">
        <v>1010</v>
      </c>
      <c r="O159" t="s">
        <v>52</v>
      </c>
      <c r="P159" t="s">
        <v>52</v>
      </c>
      <c r="Q159">
        <v>1</v>
      </c>
      <c r="Y159">
        <v>0.5</v>
      </c>
      <c r="AA159">
        <v>689.61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0.5</v>
      </c>
      <c r="AV159">
        <v>0</v>
      </c>
    </row>
    <row r="160" spans="1:48" ht="12.75">
      <c r="A160">
        <f>ROW(Source!A46)</f>
        <v>46</v>
      </c>
      <c r="B160">
        <v>7696618</v>
      </c>
      <c r="C160">
        <v>7696606</v>
      </c>
      <c r="D160">
        <v>6349441</v>
      </c>
      <c r="E160">
        <v>1</v>
      </c>
      <c r="F160">
        <v>1</v>
      </c>
      <c r="G160">
        <v>1</v>
      </c>
      <c r="H160">
        <v>3</v>
      </c>
      <c r="I160" t="s">
        <v>300</v>
      </c>
      <c r="J160" t="s">
        <v>301</v>
      </c>
      <c r="K160" t="s">
        <v>302</v>
      </c>
      <c r="L160">
        <v>1354</v>
      </c>
      <c r="N160">
        <v>1010</v>
      </c>
      <c r="O160" t="s">
        <v>52</v>
      </c>
      <c r="P160" t="s">
        <v>52</v>
      </c>
      <c r="Q160">
        <v>1</v>
      </c>
      <c r="Y160">
        <v>2</v>
      </c>
      <c r="AA160">
        <v>0</v>
      </c>
      <c r="AB160">
        <v>0</v>
      </c>
      <c r="AC160">
        <v>0</v>
      </c>
      <c r="AD160">
        <v>0</v>
      </c>
      <c r="AN160">
        <v>1</v>
      </c>
      <c r="AO160">
        <v>0</v>
      </c>
      <c r="AP160">
        <v>0</v>
      </c>
      <c r="AQ160">
        <v>0</v>
      </c>
      <c r="AR160">
        <v>0</v>
      </c>
      <c r="AT160">
        <v>2</v>
      </c>
      <c r="AV160">
        <v>0</v>
      </c>
    </row>
    <row r="161" spans="1:48" ht="12.75">
      <c r="A161">
        <f>ROW(Source!A46)</f>
        <v>46</v>
      </c>
      <c r="B161">
        <v>7696619</v>
      </c>
      <c r="C161">
        <v>7696606</v>
      </c>
      <c r="D161">
        <v>6365446</v>
      </c>
      <c r="E161">
        <v>1</v>
      </c>
      <c r="F161">
        <v>1</v>
      </c>
      <c r="G161">
        <v>1</v>
      </c>
      <c r="H161">
        <v>3</v>
      </c>
      <c r="I161" t="s">
        <v>303</v>
      </c>
      <c r="J161" t="s">
        <v>304</v>
      </c>
      <c r="K161" t="s">
        <v>305</v>
      </c>
      <c r="L161">
        <v>1356</v>
      </c>
      <c r="N161">
        <v>1010</v>
      </c>
      <c r="O161" t="s">
        <v>306</v>
      </c>
      <c r="P161" t="s">
        <v>306</v>
      </c>
      <c r="Q161">
        <v>1000</v>
      </c>
      <c r="Y161">
        <v>0.002</v>
      </c>
      <c r="AA161">
        <v>3422.98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0.002</v>
      </c>
      <c r="AV161">
        <v>0</v>
      </c>
    </row>
    <row r="162" spans="1:48" ht="12.75">
      <c r="A162">
        <f>ROW(Source!A68)</f>
        <v>68</v>
      </c>
      <c r="B162">
        <v>7696655</v>
      </c>
      <c r="C162">
        <v>7696653</v>
      </c>
      <c r="D162">
        <v>5603348</v>
      </c>
      <c r="E162">
        <v>1</v>
      </c>
      <c r="F162">
        <v>1</v>
      </c>
      <c r="G162">
        <v>1</v>
      </c>
      <c r="H162">
        <v>1</v>
      </c>
      <c r="I162" t="s">
        <v>332</v>
      </c>
      <c r="K162" t="s">
        <v>333</v>
      </c>
      <c r="L162">
        <v>1476</v>
      </c>
      <c r="N162">
        <v>1013</v>
      </c>
      <c r="O162" t="s">
        <v>203</v>
      </c>
      <c r="P162" t="s">
        <v>204</v>
      </c>
      <c r="Q162">
        <v>1</v>
      </c>
      <c r="Y162">
        <v>71.06</v>
      </c>
      <c r="AA162">
        <v>0</v>
      </c>
      <c r="AB162">
        <v>0</v>
      </c>
      <c r="AC162">
        <v>0</v>
      </c>
      <c r="AD162">
        <v>8.84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71.06</v>
      </c>
      <c r="AV162">
        <v>1</v>
      </c>
    </row>
    <row r="163" spans="1:48" ht="12.75">
      <c r="A163">
        <f>ROW(Source!A68)</f>
        <v>68</v>
      </c>
      <c r="B163">
        <v>7696656</v>
      </c>
      <c r="C163">
        <v>7696653</v>
      </c>
      <c r="D163">
        <v>121548</v>
      </c>
      <c r="E163">
        <v>1</v>
      </c>
      <c r="F163">
        <v>1</v>
      </c>
      <c r="G163">
        <v>1</v>
      </c>
      <c r="H163">
        <v>1</v>
      </c>
      <c r="I163" t="s">
        <v>28</v>
      </c>
      <c r="K163" t="s">
        <v>205</v>
      </c>
      <c r="L163">
        <v>608254</v>
      </c>
      <c r="N163">
        <v>1013</v>
      </c>
      <c r="O163" t="s">
        <v>206</v>
      </c>
      <c r="P163" t="s">
        <v>206</v>
      </c>
      <c r="Q163">
        <v>1</v>
      </c>
      <c r="Y163">
        <v>0.04</v>
      </c>
      <c r="AA163">
        <v>0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0.04</v>
      </c>
      <c r="AV163">
        <v>2</v>
      </c>
    </row>
    <row r="164" spans="1:48" ht="12.75">
      <c r="A164">
        <f>ROW(Source!A68)</f>
        <v>68</v>
      </c>
      <c r="B164">
        <v>7696657</v>
      </c>
      <c r="C164">
        <v>7696653</v>
      </c>
      <c r="D164">
        <v>6298695</v>
      </c>
      <c r="E164">
        <v>1</v>
      </c>
      <c r="F164">
        <v>1</v>
      </c>
      <c r="G164">
        <v>1</v>
      </c>
      <c r="H164">
        <v>2</v>
      </c>
      <c r="I164" t="s">
        <v>334</v>
      </c>
      <c r="J164" t="s">
        <v>335</v>
      </c>
      <c r="K164" t="s">
        <v>336</v>
      </c>
      <c r="L164">
        <v>1368</v>
      </c>
      <c r="N164">
        <v>1011</v>
      </c>
      <c r="O164" t="s">
        <v>215</v>
      </c>
      <c r="P164" t="s">
        <v>215</v>
      </c>
      <c r="Q164">
        <v>1</v>
      </c>
      <c r="Y164">
        <v>0.01</v>
      </c>
      <c r="AA164">
        <v>0</v>
      </c>
      <c r="AB164">
        <v>13.25</v>
      </c>
      <c r="AC164">
        <v>5.91</v>
      </c>
      <c r="AD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0.01</v>
      </c>
      <c r="AV164">
        <v>0</v>
      </c>
    </row>
    <row r="165" spans="1:48" ht="12.75">
      <c r="A165">
        <f>ROW(Source!A68)</f>
        <v>68</v>
      </c>
      <c r="B165">
        <v>7696658</v>
      </c>
      <c r="C165">
        <v>7696653</v>
      </c>
      <c r="D165">
        <v>6300745</v>
      </c>
      <c r="E165">
        <v>1</v>
      </c>
      <c r="F165">
        <v>1</v>
      </c>
      <c r="G165">
        <v>1</v>
      </c>
      <c r="H165">
        <v>2</v>
      </c>
      <c r="I165" t="s">
        <v>219</v>
      </c>
      <c r="J165" t="s">
        <v>220</v>
      </c>
      <c r="K165" t="s">
        <v>221</v>
      </c>
      <c r="L165">
        <v>1368</v>
      </c>
      <c r="N165">
        <v>1011</v>
      </c>
      <c r="O165" t="s">
        <v>215</v>
      </c>
      <c r="P165" t="s">
        <v>215</v>
      </c>
      <c r="Q165">
        <v>1</v>
      </c>
      <c r="Y165">
        <v>0.03</v>
      </c>
      <c r="AA165">
        <v>0</v>
      </c>
      <c r="AB165">
        <v>60.77</v>
      </c>
      <c r="AC165">
        <v>11.81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0.03</v>
      </c>
      <c r="AV165">
        <v>0</v>
      </c>
    </row>
    <row r="166" spans="1:48" ht="12.75">
      <c r="A166">
        <f>ROW(Source!A68)</f>
        <v>68</v>
      </c>
      <c r="B166">
        <v>7696659</v>
      </c>
      <c r="C166">
        <v>7696653</v>
      </c>
      <c r="D166">
        <v>6330971</v>
      </c>
      <c r="E166">
        <v>1</v>
      </c>
      <c r="F166">
        <v>1</v>
      </c>
      <c r="G166">
        <v>1</v>
      </c>
      <c r="H166">
        <v>3</v>
      </c>
      <c r="I166" t="s">
        <v>337</v>
      </c>
      <c r="J166" t="s">
        <v>338</v>
      </c>
      <c r="K166" t="s">
        <v>339</v>
      </c>
      <c r="L166">
        <v>1348</v>
      </c>
      <c r="N166">
        <v>1009</v>
      </c>
      <c r="O166" t="s">
        <v>225</v>
      </c>
      <c r="P166" t="s">
        <v>225</v>
      </c>
      <c r="Q166">
        <v>1000</v>
      </c>
      <c r="Y166">
        <v>0.0246</v>
      </c>
      <c r="AA166">
        <v>19373.21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0.0246</v>
      </c>
      <c r="AV166">
        <v>0</v>
      </c>
    </row>
    <row r="167" spans="1:48" ht="12.75">
      <c r="A167">
        <f>ROW(Source!A68)</f>
        <v>68</v>
      </c>
      <c r="B167">
        <v>7696660</v>
      </c>
      <c r="C167">
        <v>7696653</v>
      </c>
      <c r="D167">
        <v>6332267</v>
      </c>
      <c r="E167">
        <v>1</v>
      </c>
      <c r="F167">
        <v>1</v>
      </c>
      <c r="G167">
        <v>1</v>
      </c>
      <c r="H167">
        <v>3</v>
      </c>
      <c r="I167" t="s">
        <v>340</v>
      </c>
      <c r="J167" t="s">
        <v>341</v>
      </c>
      <c r="K167" t="s">
        <v>342</v>
      </c>
      <c r="L167">
        <v>1346</v>
      </c>
      <c r="N167">
        <v>1009</v>
      </c>
      <c r="O167" t="s">
        <v>242</v>
      </c>
      <c r="P167" t="s">
        <v>242</v>
      </c>
      <c r="Q167">
        <v>1</v>
      </c>
      <c r="Y167">
        <v>0.3</v>
      </c>
      <c r="AA167">
        <v>2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</v>
      </c>
      <c r="AV167">
        <v>0</v>
      </c>
    </row>
    <row r="168" spans="1:48" ht="12.75">
      <c r="A168">
        <f>ROW(Source!A68)</f>
        <v>68</v>
      </c>
      <c r="B168">
        <v>7696661</v>
      </c>
      <c r="C168">
        <v>7696653</v>
      </c>
      <c r="D168">
        <v>6332310</v>
      </c>
      <c r="E168">
        <v>1</v>
      </c>
      <c r="F168">
        <v>1</v>
      </c>
      <c r="G168">
        <v>1</v>
      </c>
      <c r="H168">
        <v>3</v>
      </c>
      <c r="I168" t="s">
        <v>283</v>
      </c>
      <c r="J168" t="s">
        <v>284</v>
      </c>
      <c r="K168" t="s">
        <v>285</v>
      </c>
      <c r="L168">
        <v>1346</v>
      </c>
      <c r="N168">
        <v>1009</v>
      </c>
      <c r="O168" t="s">
        <v>242</v>
      </c>
      <c r="P168" t="s">
        <v>242</v>
      </c>
      <c r="Q168">
        <v>1</v>
      </c>
      <c r="Y168">
        <v>2.7</v>
      </c>
      <c r="AA168">
        <v>15.33</v>
      </c>
      <c r="AB168">
        <v>0</v>
      </c>
      <c r="AC168">
        <v>0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2.7</v>
      </c>
      <c r="AV168">
        <v>0</v>
      </c>
    </row>
    <row r="169" spans="1:48" ht="12.75">
      <c r="A169">
        <f>ROW(Source!A69)</f>
        <v>69</v>
      </c>
      <c r="B169">
        <v>7696664</v>
      </c>
      <c r="C169">
        <v>7696662</v>
      </c>
      <c r="D169">
        <v>5603348</v>
      </c>
      <c r="E169">
        <v>1</v>
      </c>
      <c r="F169">
        <v>1</v>
      </c>
      <c r="G169">
        <v>1</v>
      </c>
      <c r="H169">
        <v>1</v>
      </c>
      <c r="I169" t="s">
        <v>332</v>
      </c>
      <c r="K169" t="s">
        <v>333</v>
      </c>
      <c r="L169">
        <v>1476</v>
      </c>
      <c r="N169">
        <v>1013</v>
      </c>
      <c r="O169" t="s">
        <v>203</v>
      </c>
      <c r="P169" t="s">
        <v>204</v>
      </c>
      <c r="Q169">
        <v>1</v>
      </c>
      <c r="Y169">
        <v>40.59</v>
      </c>
      <c r="AA169">
        <v>0</v>
      </c>
      <c r="AB169">
        <v>0</v>
      </c>
      <c r="AC169">
        <v>0</v>
      </c>
      <c r="AD169">
        <v>8.84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40.59</v>
      </c>
      <c r="AV169">
        <v>1</v>
      </c>
    </row>
    <row r="170" spans="1:48" ht="12.75">
      <c r="A170">
        <f>ROW(Source!A69)</f>
        <v>69</v>
      </c>
      <c r="B170">
        <v>7696665</v>
      </c>
      <c r="C170">
        <v>7696662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28</v>
      </c>
      <c r="K170" t="s">
        <v>205</v>
      </c>
      <c r="L170">
        <v>608254</v>
      </c>
      <c r="N170">
        <v>1013</v>
      </c>
      <c r="O170" t="s">
        <v>206</v>
      </c>
      <c r="P170" t="s">
        <v>206</v>
      </c>
      <c r="Q170">
        <v>1</v>
      </c>
      <c r="Y170">
        <v>0.04</v>
      </c>
      <c r="AA170">
        <v>0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0.04</v>
      </c>
      <c r="AV170">
        <v>2</v>
      </c>
    </row>
    <row r="171" spans="1:48" ht="12.75">
      <c r="A171">
        <f>ROW(Source!A69)</f>
        <v>69</v>
      </c>
      <c r="B171">
        <v>7696666</v>
      </c>
      <c r="C171">
        <v>7696662</v>
      </c>
      <c r="D171">
        <v>6298695</v>
      </c>
      <c r="E171">
        <v>1</v>
      </c>
      <c r="F171">
        <v>1</v>
      </c>
      <c r="G171">
        <v>1</v>
      </c>
      <c r="H171">
        <v>2</v>
      </c>
      <c r="I171" t="s">
        <v>334</v>
      </c>
      <c r="J171" t="s">
        <v>335</v>
      </c>
      <c r="K171" t="s">
        <v>336</v>
      </c>
      <c r="L171">
        <v>1368</v>
      </c>
      <c r="N171">
        <v>1011</v>
      </c>
      <c r="O171" t="s">
        <v>215</v>
      </c>
      <c r="P171" t="s">
        <v>215</v>
      </c>
      <c r="Q171">
        <v>1</v>
      </c>
      <c r="Y171">
        <v>0.01</v>
      </c>
      <c r="AA171">
        <v>0</v>
      </c>
      <c r="AB171">
        <v>13.25</v>
      </c>
      <c r="AC171">
        <v>5.91</v>
      </c>
      <c r="AD171">
        <v>0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0.01</v>
      </c>
      <c r="AV171">
        <v>0</v>
      </c>
    </row>
    <row r="172" spans="1:48" ht="12.75">
      <c r="A172">
        <f>ROW(Source!A69)</f>
        <v>69</v>
      </c>
      <c r="B172">
        <v>7696667</v>
      </c>
      <c r="C172">
        <v>7696662</v>
      </c>
      <c r="D172">
        <v>6300745</v>
      </c>
      <c r="E172">
        <v>1</v>
      </c>
      <c r="F172">
        <v>1</v>
      </c>
      <c r="G172">
        <v>1</v>
      </c>
      <c r="H172">
        <v>2</v>
      </c>
      <c r="I172" t="s">
        <v>219</v>
      </c>
      <c r="J172" t="s">
        <v>220</v>
      </c>
      <c r="K172" t="s">
        <v>221</v>
      </c>
      <c r="L172">
        <v>1368</v>
      </c>
      <c r="N172">
        <v>1011</v>
      </c>
      <c r="O172" t="s">
        <v>215</v>
      </c>
      <c r="P172" t="s">
        <v>215</v>
      </c>
      <c r="Q172">
        <v>1</v>
      </c>
      <c r="Y172">
        <v>0.03</v>
      </c>
      <c r="AA172">
        <v>0</v>
      </c>
      <c r="AB172">
        <v>60.77</v>
      </c>
      <c r="AC172">
        <v>11.81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0.03</v>
      </c>
      <c r="AV172">
        <v>0</v>
      </c>
    </row>
    <row r="173" spans="1:48" ht="12.75">
      <c r="A173">
        <f>ROW(Source!A69)</f>
        <v>69</v>
      </c>
      <c r="B173">
        <v>7696668</v>
      </c>
      <c r="C173">
        <v>7696662</v>
      </c>
      <c r="D173">
        <v>6330971</v>
      </c>
      <c r="E173">
        <v>1</v>
      </c>
      <c r="F173">
        <v>1</v>
      </c>
      <c r="G173">
        <v>1</v>
      </c>
      <c r="H173">
        <v>3</v>
      </c>
      <c r="I173" t="s">
        <v>337</v>
      </c>
      <c r="J173" t="s">
        <v>338</v>
      </c>
      <c r="K173" t="s">
        <v>339</v>
      </c>
      <c r="L173">
        <v>1348</v>
      </c>
      <c r="N173">
        <v>1009</v>
      </c>
      <c r="O173" t="s">
        <v>225</v>
      </c>
      <c r="P173" t="s">
        <v>225</v>
      </c>
      <c r="Q173">
        <v>1000</v>
      </c>
      <c r="Y173">
        <v>0.0246</v>
      </c>
      <c r="AA173">
        <v>19373.21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0.0246</v>
      </c>
      <c r="AV173">
        <v>0</v>
      </c>
    </row>
    <row r="174" spans="1:48" ht="12.75">
      <c r="A174">
        <f>ROW(Source!A69)</f>
        <v>69</v>
      </c>
      <c r="B174">
        <v>7696669</v>
      </c>
      <c r="C174">
        <v>7696662</v>
      </c>
      <c r="D174">
        <v>6332267</v>
      </c>
      <c r="E174">
        <v>1</v>
      </c>
      <c r="F174">
        <v>1</v>
      </c>
      <c r="G174">
        <v>1</v>
      </c>
      <c r="H174">
        <v>3</v>
      </c>
      <c r="I174" t="s">
        <v>340</v>
      </c>
      <c r="J174" t="s">
        <v>341</v>
      </c>
      <c r="K174" t="s">
        <v>342</v>
      </c>
      <c r="L174">
        <v>1346</v>
      </c>
      <c r="N174">
        <v>1009</v>
      </c>
      <c r="O174" t="s">
        <v>242</v>
      </c>
      <c r="P174" t="s">
        <v>242</v>
      </c>
      <c r="Q174">
        <v>1</v>
      </c>
      <c r="Y174">
        <v>0.3</v>
      </c>
      <c r="AA174">
        <v>2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0.3</v>
      </c>
      <c r="AV174">
        <v>0</v>
      </c>
    </row>
    <row r="175" spans="1:48" ht="12.75">
      <c r="A175">
        <f>ROW(Source!A69)</f>
        <v>69</v>
      </c>
      <c r="B175">
        <v>7696670</v>
      </c>
      <c r="C175">
        <v>7696662</v>
      </c>
      <c r="D175">
        <v>6332310</v>
      </c>
      <c r="E175">
        <v>1</v>
      </c>
      <c r="F175">
        <v>1</v>
      </c>
      <c r="G175">
        <v>1</v>
      </c>
      <c r="H175">
        <v>3</v>
      </c>
      <c r="I175" t="s">
        <v>283</v>
      </c>
      <c r="J175" t="s">
        <v>284</v>
      </c>
      <c r="K175" t="s">
        <v>285</v>
      </c>
      <c r="L175">
        <v>1346</v>
      </c>
      <c r="N175">
        <v>1009</v>
      </c>
      <c r="O175" t="s">
        <v>242</v>
      </c>
      <c r="P175" t="s">
        <v>242</v>
      </c>
      <c r="Q175">
        <v>1</v>
      </c>
      <c r="Y175">
        <v>2.7</v>
      </c>
      <c r="AA175">
        <v>15.33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2.7</v>
      </c>
      <c r="AV175">
        <v>0</v>
      </c>
    </row>
    <row r="176" spans="1:48" ht="12.75">
      <c r="A176">
        <f>ROW(Source!A89)</f>
        <v>89</v>
      </c>
      <c r="B176">
        <v>7696701</v>
      </c>
      <c r="C176">
        <v>7696699</v>
      </c>
      <c r="D176">
        <v>5608159</v>
      </c>
      <c r="E176">
        <v>1</v>
      </c>
      <c r="F176">
        <v>1</v>
      </c>
      <c r="G176">
        <v>1</v>
      </c>
      <c r="H176">
        <v>1</v>
      </c>
      <c r="I176" t="s">
        <v>343</v>
      </c>
      <c r="K176" t="s">
        <v>344</v>
      </c>
      <c r="L176">
        <v>1476</v>
      </c>
      <c r="N176">
        <v>1013</v>
      </c>
      <c r="O176" t="s">
        <v>203</v>
      </c>
      <c r="P176" t="s">
        <v>204</v>
      </c>
      <c r="Q176">
        <v>1</v>
      </c>
      <c r="Y176">
        <v>4.12</v>
      </c>
      <c r="AA176">
        <v>0</v>
      </c>
      <c r="AB176">
        <v>0</v>
      </c>
      <c r="AC176">
        <v>0</v>
      </c>
      <c r="AD176">
        <v>8.74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4.12</v>
      </c>
      <c r="AV176">
        <v>1</v>
      </c>
    </row>
    <row r="177" spans="1:48" ht="12.75">
      <c r="A177">
        <f>ROW(Source!A89)</f>
        <v>89</v>
      </c>
      <c r="B177">
        <v>7696702</v>
      </c>
      <c r="C177">
        <v>7696699</v>
      </c>
      <c r="D177">
        <v>121548</v>
      </c>
      <c r="E177">
        <v>1</v>
      </c>
      <c r="F177">
        <v>1</v>
      </c>
      <c r="G177">
        <v>1</v>
      </c>
      <c r="H177">
        <v>1</v>
      </c>
      <c r="I177" t="s">
        <v>28</v>
      </c>
      <c r="K177" t="s">
        <v>205</v>
      </c>
      <c r="L177">
        <v>608254</v>
      </c>
      <c r="N177">
        <v>1013</v>
      </c>
      <c r="O177" t="s">
        <v>206</v>
      </c>
      <c r="P177" t="s">
        <v>206</v>
      </c>
      <c r="Q177">
        <v>1</v>
      </c>
      <c r="Y177">
        <v>0.16</v>
      </c>
      <c r="AA177">
        <v>0</v>
      </c>
      <c r="AB177">
        <v>0</v>
      </c>
      <c r="AC177">
        <v>0</v>
      </c>
      <c r="AD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0.16</v>
      </c>
      <c r="AV177">
        <v>2</v>
      </c>
    </row>
    <row r="178" spans="1:48" ht="12.75">
      <c r="A178">
        <f>ROW(Source!A89)</f>
        <v>89</v>
      </c>
      <c r="B178">
        <v>7696703</v>
      </c>
      <c r="C178">
        <v>7696699</v>
      </c>
      <c r="D178">
        <v>6300745</v>
      </c>
      <c r="E178">
        <v>1</v>
      </c>
      <c r="F178">
        <v>1</v>
      </c>
      <c r="G178">
        <v>1</v>
      </c>
      <c r="H178">
        <v>2</v>
      </c>
      <c r="I178" t="s">
        <v>219</v>
      </c>
      <c r="J178" t="s">
        <v>220</v>
      </c>
      <c r="K178" t="s">
        <v>221</v>
      </c>
      <c r="L178">
        <v>1368</v>
      </c>
      <c r="N178">
        <v>1011</v>
      </c>
      <c r="O178" t="s">
        <v>215</v>
      </c>
      <c r="P178" t="s">
        <v>215</v>
      </c>
      <c r="Q178">
        <v>1</v>
      </c>
      <c r="Y178">
        <v>0.16</v>
      </c>
      <c r="AA178">
        <v>0</v>
      </c>
      <c r="AB178">
        <v>60.77</v>
      </c>
      <c r="AC178">
        <v>11.81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0.16</v>
      </c>
      <c r="AV178">
        <v>0</v>
      </c>
    </row>
    <row r="179" spans="1:48" ht="12.75">
      <c r="A179">
        <f>ROW(Source!A89)</f>
        <v>89</v>
      </c>
      <c r="B179">
        <v>7696704</v>
      </c>
      <c r="C179">
        <v>7696699</v>
      </c>
      <c r="D179">
        <v>6330628</v>
      </c>
      <c r="E179">
        <v>1</v>
      </c>
      <c r="F179">
        <v>1</v>
      </c>
      <c r="G179">
        <v>1</v>
      </c>
      <c r="H179">
        <v>3</v>
      </c>
      <c r="I179" t="s">
        <v>345</v>
      </c>
      <c r="J179" t="s">
        <v>346</v>
      </c>
      <c r="K179" t="s">
        <v>347</v>
      </c>
      <c r="L179">
        <v>1348</v>
      </c>
      <c r="N179">
        <v>1009</v>
      </c>
      <c r="O179" t="s">
        <v>225</v>
      </c>
      <c r="P179" t="s">
        <v>225</v>
      </c>
      <c r="Q179">
        <v>1000</v>
      </c>
      <c r="Y179">
        <v>0.0022</v>
      </c>
      <c r="AA179">
        <v>8597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0.0022</v>
      </c>
      <c r="AV179">
        <v>0</v>
      </c>
    </row>
    <row r="180" spans="1:48" ht="12.75">
      <c r="A180">
        <f>ROW(Source!A89)</f>
        <v>89</v>
      </c>
      <c r="B180">
        <v>7696705</v>
      </c>
      <c r="C180">
        <v>7696699</v>
      </c>
      <c r="D180">
        <v>6332643</v>
      </c>
      <c r="E180">
        <v>1</v>
      </c>
      <c r="F180">
        <v>1</v>
      </c>
      <c r="G180">
        <v>1</v>
      </c>
      <c r="H180">
        <v>3</v>
      </c>
      <c r="I180" t="s">
        <v>348</v>
      </c>
      <c r="J180" t="s">
        <v>349</v>
      </c>
      <c r="K180" t="s">
        <v>350</v>
      </c>
      <c r="L180">
        <v>1346</v>
      </c>
      <c r="N180">
        <v>1009</v>
      </c>
      <c r="O180" t="s">
        <v>242</v>
      </c>
      <c r="P180" t="s">
        <v>242</v>
      </c>
      <c r="Q180">
        <v>1</v>
      </c>
      <c r="Y180">
        <v>0.002</v>
      </c>
      <c r="AA180">
        <v>37.9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0.002</v>
      </c>
      <c r="AV180">
        <v>0</v>
      </c>
    </row>
    <row r="181" spans="1:48" ht="12.75">
      <c r="A181">
        <f>ROW(Source!A89)</f>
        <v>89</v>
      </c>
      <c r="B181">
        <v>7696706</v>
      </c>
      <c r="C181">
        <v>7696699</v>
      </c>
      <c r="D181">
        <v>6333963</v>
      </c>
      <c r="E181">
        <v>1</v>
      </c>
      <c r="F181">
        <v>1</v>
      </c>
      <c r="G181">
        <v>1</v>
      </c>
      <c r="H181">
        <v>3</v>
      </c>
      <c r="I181" t="s">
        <v>351</v>
      </c>
      <c r="J181" t="s">
        <v>352</v>
      </c>
      <c r="K181" t="s">
        <v>353</v>
      </c>
      <c r="L181">
        <v>1346</v>
      </c>
      <c r="N181">
        <v>1009</v>
      </c>
      <c r="O181" t="s">
        <v>242</v>
      </c>
      <c r="P181" t="s">
        <v>242</v>
      </c>
      <c r="Q181">
        <v>1</v>
      </c>
      <c r="Y181">
        <v>0.014</v>
      </c>
      <c r="AA181">
        <v>26.44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0.014</v>
      </c>
      <c r="AV181">
        <v>0</v>
      </c>
    </row>
    <row r="182" spans="1:48" ht="12.75">
      <c r="A182">
        <f>ROW(Source!A90)</f>
        <v>90</v>
      </c>
      <c r="B182">
        <v>7696709</v>
      </c>
      <c r="C182">
        <v>7696707</v>
      </c>
      <c r="D182">
        <v>5612288</v>
      </c>
      <c r="E182">
        <v>1</v>
      </c>
      <c r="F182">
        <v>1</v>
      </c>
      <c r="G182">
        <v>1</v>
      </c>
      <c r="H182">
        <v>1</v>
      </c>
      <c r="I182" t="s">
        <v>327</v>
      </c>
      <c r="K182" t="s">
        <v>328</v>
      </c>
      <c r="L182">
        <v>1476</v>
      </c>
      <c r="N182">
        <v>1013</v>
      </c>
      <c r="O182" t="s">
        <v>203</v>
      </c>
      <c r="P182" t="s">
        <v>204</v>
      </c>
      <c r="Q182">
        <v>1</v>
      </c>
      <c r="Y182">
        <v>1.03</v>
      </c>
      <c r="AA182">
        <v>0</v>
      </c>
      <c r="AB182">
        <v>0</v>
      </c>
      <c r="AC182">
        <v>0</v>
      </c>
      <c r="AD182">
        <v>9.91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1.03</v>
      </c>
      <c r="AV182">
        <v>1</v>
      </c>
    </row>
    <row r="183" spans="1:48" ht="12.75">
      <c r="A183">
        <f>ROW(Source!A90)</f>
        <v>90</v>
      </c>
      <c r="B183">
        <v>7696710</v>
      </c>
      <c r="C183">
        <v>7696707</v>
      </c>
      <c r="D183">
        <v>6332633</v>
      </c>
      <c r="E183">
        <v>1</v>
      </c>
      <c r="F183">
        <v>1</v>
      </c>
      <c r="G183">
        <v>1</v>
      </c>
      <c r="H183">
        <v>3</v>
      </c>
      <c r="I183" t="s">
        <v>354</v>
      </c>
      <c r="J183" t="s">
        <v>355</v>
      </c>
      <c r="K183" t="s">
        <v>356</v>
      </c>
      <c r="L183">
        <v>1346</v>
      </c>
      <c r="N183">
        <v>1009</v>
      </c>
      <c r="O183" t="s">
        <v>242</v>
      </c>
      <c r="P183" t="s">
        <v>242</v>
      </c>
      <c r="Q183">
        <v>1</v>
      </c>
      <c r="Y183">
        <v>0.079</v>
      </c>
      <c r="AA183">
        <v>28.22</v>
      </c>
      <c r="AB183">
        <v>0</v>
      </c>
      <c r="AC183">
        <v>0</v>
      </c>
      <c r="AD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0.079</v>
      </c>
      <c r="AV183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2006-02-26T08:03:05Z</cp:lastPrinted>
  <dcterms:created xsi:type="dcterms:W3CDTF">2007-02-15T07:18:26Z</dcterms:created>
  <dcterms:modified xsi:type="dcterms:W3CDTF">2006-02-26T08:04:09Z</dcterms:modified>
  <cp:category/>
  <cp:version/>
  <cp:contentType/>
  <cp:contentStatus/>
</cp:coreProperties>
</file>